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0" windowHeight="11040"/>
  </bookViews>
  <sheets>
    <sheet name="2º TRIMESTRE" sheetId="1" r:id="rId1"/>
  </sheets>
  <externalReferences>
    <externalReference r:id="rId2"/>
  </externalReferences>
  <definedNames>
    <definedName name="_xlnm._FilterDatabase" localSheetId="0" hidden="1">'2º TRIMESTRE'!$A$7:$AN$142</definedName>
  </definedName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142" i="1"/>
  <c r="U142"/>
  <c r="W142" s="1"/>
  <c r="Y142" s="1"/>
  <c r="T142"/>
  <c r="R142"/>
  <c r="P142"/>
  <c r="O142"/>
  <c r="N142"/>
  <c r="Z141"/>
  <c r="W141"/>
  <c r="Y141" s="1"/>
  <c r="U141"/>
  <c r="T141"/>
  <c r="R141"/>
  <c r="P141"/>
  <c r="O141"/>
  <c r="N141"/>
  <c r="Z140"/>
  <c r="U140"/>
  <c r="T140"/>
  <c r="R140"/>
  <c r="P140"/>
  <c r="O140"/>
  <c r="N140"/>
  <c r="M140"/>
  <c r="Z139"/>
  <c r="U139"/>
  <c r="W139" s="1"/>
  <c r="Y139" s="1"/>
  <c r="T139"/>
  <c r="R139"/>
  <c r="P139"/>
  <c r="O139"/>
  <c r="N139"/>
  <c r="M139"/>
  <c r="U138"/>
  <c r="T138"/>
  <c r="R138"/>
  <c r="W138" s="1"/>
  <c r="Y138" s="1"/>
  <c r="P138"/>
  <c r="O138"/>
  <c r="N138"/>
  <c r="M138"/>
  <c r="Z138" s="1"/>
  <c r="U137"/>
  <c r="W137" s="1"/>
  <c r="Y137" s="1"/>
  <c r="T137"/>
  <c r="R137"/>
  <c r="P137"/>
  <c r="O137"/>
  <c r="N137"/>
  <c r="M137"/>
  <c r="Z137" s="1"/>
  <c r="Z136"/>
  <c r="U136"/>
  <c r="W136" s="1"/>
  <c r="Y136" s="1"/>
  <c r="T136"/>
  <c r="R136"/>
  <c r="P136"/>
  <c r="O136"/>
  <c r="N136"/>
  <c r="M136"/>
  <c r="U135"/>
  <c r="W135" s="1"/>
  <c r="Y135" s="1"/>
  <c r="T135"/>
  <c r="R135"/>
  <c r="P135"/>
  <c r="O135"/>
  <c r="N135"/>
  <c r="M135" s="1"/>
  <c r="Z135" s="1"/>
  <c r="Z134"/>
  <c r="U134"/>
  <c r="T134"/>
  <c r="R134"/>
  <c r="P134"/>
  <c r="O134"/>
  <c r="N134"/>
  <c r="M134"/>
  <c r="Z133"/>
  <c r="U133"/>
  <c r="T133"/>
  <c r="R133"/>
  <c r="P133"/>
  <c r="O133"/>
  <c r="N133"/>
  <c r="M133"/>
  <c r="U132"/>
  <c r="T132"/>
  <c r="R132"/>
  <c r="W132" s="1"/>
  <c r="Y132" s="1"/>
  <c r="P132"/>
  <c r="O132"/>
  <c r="N132"/>
  <c r="M132"/>
  <c r="Z132" s="1"/>
  <c r="U131"/>
  <c r="W131" s="1"/>
  <c r="Y131" s="1"/>
  <c r="T131"/>
  <c r="R131"/>
  <c r="P131"/>
  <c r="O131"/>
  <c r="N131"/>
  <c r="M131"/>
  <c r="Z131" s="1"/>
  <c r="Z130"/>
  <c r="U130"/>
  <c r="W130" s="1"/>
  <c r="Y130" s="1"/>
  <c r="T130"/>
  <c r="R130"/>
  <c r="P130"/>
  <c r="O130"/>
  <c r="N130"/>
  <c r="M130"/>
  <c r="U129"/>
  <c r="W129" s="1"/>
  <c r="Y129" s="1"/>
  <c r="T129"/>
  <c r="R129"/>
  <c r="P129"/>
  <c r="O129"/>
  <c r="N129"/>
  <c r="M129" s="1"/>
  <c r="Z129" s="1"/>
  <c r="Z128"/>
  <c r="U128"/>
  <c r="T128"/>
  <c r="R128"/>
  <c r="P128"/>
  <c r="O128"/>
  <c r="N128"/>
  <c r="M128"/>
  <c r="Z127"/>
  <c r="U127"/>
  <c r="T127"/>
  <c r="R127"/>
  <c r="P127"/>
  <c r="O127"/>
  <c r="N127"/>
  <c r="M127"/>
  <c r="U126"/>
  <c r="T126"/>
  <c r="R126"/>
  <c r="W126" s="1"/>
  <c r="Y126" s="1"/>
  <c r="P126"/>
  <c r="O126"/>
  <c r="N126"/>
  <c r="M126"/>
  <c r="Z126" s="1"/>
  <c r="U125"/>
  <c r="W125" s="1"/>
  <c r="Y125" s="1"/>
  <c r="T125"/>
  <c r="R125"/>
  <c r="P125"/>
  <c r="O125"/>
  <c r="N125"/>
  <c r="M125"/>
  <c r="Z125" s="1"/>
  <c r="Z124"/>
  <c r="U124"/>
  <c r="W124" s="1"/>
  <c r="Y124" s="1"/>
  <c r="T124"/>
  <c r="R124"/>
  <c r="P124"/>
  <c r="O124"/>
  <c r="N124"/>
  <c r="M124"/>
  <c r="U123"/>
  <c r="W123" s="1"/>
  <c r="Y123" s="1"/>
  <c r="T123"/>
  <c r="R123"/>
  <c r="P123"/>
  <c r="O123"/>
  <c r="N123"/>
  <c r="M123" s="1"/>
  <c r="Z123" s="1"/>
  <c r="Z122"/>
  <c r="U122"/>
  <c r="T122"/>
  <c r="R122"/>
  <c r="P122"/>
  <c r="O122"/>
  <c r="N122"/>
  <c r="M122"/>
  <c r="Z121"/>
  <c r="U121"/>
  <c r="T121"/>
  <c r="R121"/>
  <c r="P121"/>
  <c r="O121"/>
  <c r="N121"/>
  <c r="M121"/>
  <c r="U120"/>
  <c r="T120"/>
  <c r="R120"/>
  <c r="W120" s="1"/>
  <c r="Y120" s="1"/>
  <c r="P120"/>
  <c r="O120"/>
  <c r="N120"/>
  <c r="M120"/>
  <c r="Z120" s="1"/>
  <c r="U119"/>
  <c r="W119" s="1"/>
  <c r="Y119" s="1"/>
  <c r="T119"/>
  <c r="R119"/>
  <c r="P119"/>
  <c r="O119"/>
  <c r="N119"/>
  <c r="M119"/>
  <c r="Z119" s="1"/>
  <c r="Z118"/>
  <c r="U118"/>
  <c r="W118" s="1"/>
  <c r="Y118" s="1"/>
  <c r="T118"/>
  <c r="R118"/>
  <c r="P118"/>
  <c r="O118"/>
  <c r="N118"/>
  <c r="M118"/>
  <c r="U117"/>
  <c r="W117" s="1"/>
  <c r="Y117" s="1"/>
  <c r="T117"/>
  <c r="R117"/>
  <c r="P117"/>
  <c r="O117"/>
  <c r="N117"/>
  <c r="M117" s="1"/>
  <c r="Z117" s="1"/>
  <c r="I117"/>
  <c r="Z116"/>
  <c r="U116"/>
  <c r="W116" s="1"/>
  <c r="Y116" s="1"/>
  <c r="T116"/>
  <c r="R116"/>
  <c r="P116"/>
  <c r="O116"/>
  <c r="N116"/>
  <c r="M116"/>
  <c r="I116"/>
  <c r="Z115"/>
  <c r="U115"/>
  <c r="T115"/>
  <c r="R115"/>
  <c r="P115"/>
  <c r="O115"/>
  <c r="N115"/>
  <c r="M115"/>
  <c r="I115"/>
  <c r="U114"/>
  <c r="T114"/>
  <c r="R114"/>
  <c r="W114" s="1"/>
  <c r="Y114" s="1"/>
  <c r="P114"/>
  <c r="O114"/>
  <c r="N114"/>
  <c r="M114" s="1"/>
  <c r="Z114" s="1"/>
  <c r="I114"/>
  <c r="X113"/>
  <c r="W113"/>
  <c r="U113"/>
  <c r="T113"/>
  <c r="R113"/>
  <c r="P113"/>
  <c r="O113"/>
  <c r="N113"/>
  <c r="M113" s="1"/>
  <c r="Z113" s="1"/>
  <c r="I113"/>
  <c r="Z112"/>
  <c r="U112"/>
  <c r="T112"/>
  <c r="R112"/>
  <c r="P112"/>
  <c r="O112"/>
  <c r="N112"/>
  <c r="M112"/>
  <c r="I112"/>
  <c r="U111"/>
  <c r="W111" s="1"/>
  <c r="Y111" s="1"/>
  <c r="T111"/>
  <c r="R111"/>
  <c r="P111"/>
  <c r="O111"/>
  <c r="N111"/>
  <c r="M111" s="1"/>
  <c r="Z111" s="1"/>
  <c r="I111"/>
  <c r="U110"/>
  <c r="T110"/>
  <c r="R110"/>
  <c r="W110" s="1"/>
  <c r="Y110" s="1"/>
  <c r="O110"/>
  <c r="N110"/>
  <c r="M110"/>
  <c r="Z110" s="1"/>
  <c r="I110"/>
  <c r="V109"/>
  <c r="U109"/>
  <c r="W109" s="1"/>
  <c r="Y109" s="1"/>
  <c r="T109"/>
  <c r="R109"/>
  <c r="Q109"/>
  <c r="P109"/>
  <c r="O109"/>
  <c r="N109"/>
  <c r="M109"/>
  <c r="Z109" s="1"/>
  <c r="L109"/>
  <c r="K109"/>
  <c r="J109"/>
  <c r="I109"/>
  <c r="H109"/>
  <c r="G109"/>
  <c r="B109"/>
  <c r="A109"/>
  <c r="X108"/>
  <c r="Y108" s="1"/>
  <c r="W108"/>
  <c r="V108"/>
  <c r="U108"/>
  <c r="T108"/>
  <c r="R108"/>
  <c r="Q108"/>
  <c r="P108"/>
  <c r="O108"/>
  <c r="N108"/>
  <c r="L108"/>
  <c r="K108"/>
  <c r="J108"/>
  <c r="M108" s="1"/>
  <c r="Z108" s="1"/>
  <c r="I108"/>
  <c r="H108"/>
  <c r="G108"/>
  <c r="F108"/>
  <c r="E108"/>
  <c r="B108"/>
  <c r="A108"/>
  <c r="V107"/>
  <c r="U107"/>
  <c r="W107" s="1"/>
  <c r="Y107" s="1"/>
  <c r="T107"/>
  <c r="R107"/>
  <c r="Q107"/>
  <c r="P107"/>
  <c r="O107"/>
  <c r="N107"/>
  <c r="L107"/>
  <c r="K107"/>
  <c r="J107"/>
  <c r="M107" s="1"/>
  <c r="Z107" s="1"/>
  <c r="I107"/>
  <c r="H107"/>
  <c r="G107"/>
  <c r="F107"/>
  <c r="E107"/>
  <c r="B107"/>
  <c r="A107"/>
  <c r="V106"/>
  <c r="U106"/>
  <c r="T106"/>
  <c r="R106"/>
  <c r="W106" s="1"/>
  <c r="Y106" s="1"/>
  <c r="Q106"/>
  <c r="P106"/>
  <c r="O106"/>
  <c r="N106"/>
  <c r="L106"/>
  <c r="K106"/>
  <c r="J106"/>
  <c r="M106" s="1"/>
  <c r="Z106" s="1"/>
  <c r="I106"/>
  <c r="H106"/>
  <c r="G106"/>
  <c r="F106"/>
  <c r="E106"/>
  <c r="B106"/>
  <c r="A106"/>
  <c r="U105"/>
  <c r="W105" s="1"/>
  <c r="Y105" s="1"/>
  <c r="T105"/>
  <c r="R105"/>
  <c r="Q105"/>
  <c r="P105"/>
  <c r="O105"/>
  <c r="N105"/>
  <c r="L105"/>
  <c r="K105"/>
  <c r="J105"/>
  <c r="M105" s="1"/>
  <c r="Z105" s="1"/>
  <c r="I105"/>
  <c r="H105"/>
  <c r="G105"/>
  <c r="F105"/>
  <c r="E105"/>
  <c r="B105"/>
  <c r="A105"/>
  <c r="V104"/>
  <c r="U104"/>
  <c r="W104" s="1"/>
  <c r="Y104" s="1"/>
  <c r="T104"/>
  <c r="R104"/>
  <c r="Q104"/>
  <c r="P104"/>
  <c r="O104"/>
  <c r="N104"/>
  <c r="M104"/>
  <c r="Z104" s="1"/>
  <c r="L104"/>
  <c r="K104"/>
  <c r="J104"/>
  <c r="I104"/>
  <c r="H104"/>
  <c r="G104"/>
  <c r="F104"/>
  <c r="E104"/>
  <c r="D104"/>
  <c r="C104"/>
  <c r="B104"/>
  <c r="A104"/>
  <c r="V103"/>
  <c r="U103"/>
  <c r="W103" s="1"/>
  <c r="Y103" s="1"/>
  <c r="T103"/>
  <c r="R103"/>
  <c r="Q103"/>
  <c r="P103"/>
  <c r="O103"/>
  <c r="N103"/>
  <c r="M103"/>
  <c r="Z103" s="1"/>
  <c r="L103"/>
  <c r="K103"/>
  <c r="J103"/>
  <c r="I103"/>
  <c r="H103"/>
  <c r="G103"/>
  <c r="F103"/>
  <c r="E103"/>
  <c r="D103"/>
  <c r="C103"/>
  <c r="B103"/>
  <c r="A103"/>
  <c r="V102"/>
  <c r="U102"/>
  <c r="W102" s="1"/>
  <c r="Y102" s="1"/>
  <c r="T102"/>
  <c r="R102"/>
  <c r="Q102"/>
  <c r="P102"/>
  <c r="O102"/>
  <c r="N102"/>
  <c r="M102" s="1"/>
  <c r="Z102" s="1"/>
  <c r="L102"/>
  <c r="K102"/>
  <c r="J102"/>
  <c r="I102"/>
  <c r="H102"/>
  <c r="G102"/>
  <c r="F102"/>
  <c r="E102"/>
  <c r="D102"/>
  <c r="C102"/>
  <c r="B102"/>
  <c r="A102"/>
  <c r="V101"/>
  <c r="U101"/>
  <c r="W101" s="1"/>
  <c r="Y101" s="1"/>
  <c r="T101"/>
  <c r="R101"/>
  <c r="Q101"/>
  <c r="P101"/>
  <c r="O101"/>
  <c r="N101"/>
  <c r="M101" s="1"/>
  <c r="Z101" s="1"/>
  <c r="L101"/>
  <c r="K101"/>
  <c r="J101"/>
  <c r="I101"/>
  <c r="H101"/>
  <c r="G101"/>
  <c r="F101"/>
  <c r="E101"/>
  <c r="D101"/>
  <c r="C101"/>
  <c r="B101"/>
  <c r="A101"/>
  <c r="V100"/>
  <c r="U100"/>
  <c r="W100" s="1"/>
  <c r="Y100" s="1"/>
  <c r="T100"/>
  <c r="R100"/>
  <c r="Q100"/>
  <c r="P100"/>
  <c r="O100"/>
  <c r="N100"/>
  <c r="M100"/>
  <c r="Z100" s="1"/>
  <c r="L100"/>
  <c r="K100"/>
  <c r="J100"/>
  <c r="I100"/>
  <c r="H100"/>
  <c r="G100"/>
  <c r="F100"/>
  <c r="E100"/>
  <c r="D100"/>
  <c r="C100"/>
  <c r="B100"/>
  <c r="A100"/>
  <c r="V99"/>
  <c r="U99"/>
  <c r="W99" s="1"/>
  <c r="Y99" s="1"/>
  <c r="T99"/>
  <c r="R99"/>
  <c r="Q99"/>
  <c r="P99"/>
  <c r="O99"/>
  <c r="N99"/>
  <c r="M99"/>
  <c r="Z99" s="1"/>
  <c r="L99"/>
  <c r="K99"/>
  <c r="J99"/>
  <c r="I99"/>
  <c r="H99"/>
  <c r="G99"/>
  <c r="F99"/>
  <c r="E99"/>
  <c r="D99"/>
  <c r="C99"/>
  <c r="B99"/>
  <c r="A99"/>
  <c r="V98"/>
  <c r="U98"/>
  <c r="W98" s="1"/>
  <c r="Y98" s="1"/>
  <c r="T98"/>
  <c r="R98"/>
  <c r="Q98"/>
  <c r="P98"/>
  <c r="O98"/>
  <c r="N98"/>
  <c r="M98" s="1"/>
  <c r="Z98" s="1"/>
  <c r="L98"/>
  <c r="K98"/>
  <c r="J98"/>
  <c r="I98"/>
  <c r="H98"/>
  <c r="G98"/>
  <c r="F98"/>
  <c r="E98"/>
  <c r="D98"/>
  <c r="C98"/>
  <c r="B98"/>
  <c r="A98"/>
  <c r="V97"/>
  <c r="U97"/>
  <c r="W97" s="1"/>
  <c r="Y97" s="1"/>
  <c r="T97"/>
  <c r="R97"/>
  <c r="Q97"/>
  <c r="P97"/>
  <c r="O97"/>
  <c r="N97"/>
  <c r="M97" s="1"/>
  <c r="Z97" s="1"/>
  <c r="L97"/>
  <c r="K97"/>
  <c r="J97"/>
  <c r="I97"/>
  <c r="H97"/>
  <c r="G97"/>
  <c r="F97"/>
  <c r="E97"/>
  <c r="D97"/>
  <c r="C97"/>
  <c r="B97"/>
  <c r="A97"/>
  <c r="V96"/>
  <c r="U96"/>
  <c r="W96" s="1"/>
  <c r="Y96" s="1"/>
  <c r="T96"/>
  <c r="R96"/>
  <c r="Q96"/>
  <c r="P96"/>
  <c r="O96"/>
  <c r="N96"/>
  <c r="M96"/>
  <c r="Z96" s="1"/>
  <c r="L96"/>
  <c r="K96"/>
  <c r="J96"/>
  <c r="I96"/>
  <c r="H96"/>
  <c r="G96"/>
  <c r="F96"/>
  <c r="E96"/>
  <c r="D96"/>
  <c r="C96"/>
  <c r="B96"/>
  <c r="A96"/>
  <c r="V95"/>
  <c r="U95"/>
  <c r="W95" s="1"/>
  <c r="Y95" s="1"/>
  <c r="T95"/>
  <c r="R95"/>
  <c r="Q95"/>
  <c r="P95"/>
  <c r="O95"/>
  <c r="N95"/>
  <c r="M95"/>
  <c r="Z95" s="1"/>
  <c r="L95"/>
  <c r="K95"/>
  <c r="J95"/>
  <c r="I95"/>
  <c r="H95"/>
  <c r="G95"/>
  <c r="F95"/>
  <c r="E95"/>
  <c r="B95"/>
  <c r="A95"/>
  <c r="Y94"/>
  <c r="V94"/>
  <c r="U94"/>
  <c r="T94"/>
  <c r="R94"/>
  <c r="W94" s="1"/>
  <c r="Q94"/>
  <c r="P94"/>
  <c r="O94"/>
  <c r="N94"/>
  <c r="L94"/>
  <c r="K94"/>
  <c r="M94" s="1"/>
  <c r="Z94" s="1"/>
  <c r="J94"/>
  <c r="I94"/>
  <c r="H94"/>
  <c r="G94"/>
  <c r="F94"/>
  <c r="E94"/>
  <c r="D94"/>
  <c r="C94"/>
  <c r="B94"/>
  <c r="A94"/>
  <c r="V93"/>
  <c r="U93"/>
  <c r="T93"/>
  <c r="R93"/>
  <c r="W93" s="1"/>
  <c r="Y93" s="1"/>
  <c r="Q93"/>
  <c r="P93"/>
  <c r="O93"/>
  <c r="N93"/>
  <c r="M93"/>
  <c r="Z93" s="1"/>
  <c r="L93"/>
  <c r="K93"/>
  <c r="J93"/>
  <c r="I93"/>
  <c r="H93"/>
  <c r="G93"/>
  <c r="F93"/>
  <c r="E93"/>
  <c r="D93"/>
  <c r="C93"/>
  <c r="B93"/>
  <c r="A93"/>
  <c r="V92"/>
  <c r="U92"/>
  <c r="T92"/>
  <c r="R92"/>
  <c r="W92" s="1"/>
  <c r="Y92" s="1"/>
  <c r="Q92"/>
  <c r="P92"/>
  <c r="O92"/>
  <c r="N92"/>
  <c r="M92"/>
  <c r="Z92" s="1"/>
  <c r="L92"/>
  <c r="K92"/>
  <c r="J92"/>
  <c r="I92"/>
  <c r="H92"/>
  <c r="G92"/>
  <c r="F92"/>
  <c r="E92"/>
  <c r="D92"/>
  <c r="C92"/>
  <c r="B92"/>
  <c r="A92"/>
  <c r="V91"/>
  <c r="U91"/>
  <c r="T91"/>
  <c r="R91"/>
  <c r="W91" s="1"/>
  <c r="Y91" s="1"/>
  <c r="Q91"/>
  <c r="P91"/>
  <c r="O91"/>
  <c r="N91"/>
  <c r="L91"/>
  <c r="K91"/>
  <c r="M91" s="1"/>
  <c r="Z91" s="1"/>
  <c r="J91"/>
  <c r="I91"/>
  <c r="H91"/>
  <c r="G91"/>
  <c r="F91"/>
  <c r="E91"/>
  <c r="D91"/>
  <c r="C91"/>
  <c r="B91"/>
  <c r="A91"/>
  <c r="V90"/>
  <c r="U90"/>
  <c r="T90"/>
  <c r="R90"/>
  <c r="W90" s="1"/>
  <c r="Y90" s="1"/>
  <c r="Q90"/>
  <c r="P90"/>
  <c r="O90"/>
  <c r="N90"/>
  <c r="L90"/>
  <c r="K90"/>
  <c r="M90" s="1"/>
  <c r="Z90" s="1"/>
  <c r="J90"/>
  <c r="I90"/>
  <c r="H90"/>
  <c r="G90"/>
  <c r="F90"/>
  <c r="E90"/>
  <c r="D90"/>
  <c r="C90"/>
  <c r="B90"/>
  <c r="A90"/>
  <c r="Y89"/>
  <c r="V89"/>
  <c r="S89"/>
  <c r="U89" s="1"/>
  <c r="W89" s="1"/>
  <c r="R89"/>
  <c r="Q89"/>
  <c r="P89"/>
  <c r="O89"/>
  <c r="N89"/>
  <c r="M89"/>
  <c r="Z89" s="1"/>
  <c r="L89"/>
  <c r="K89"/>
  <c r="J89"/>
  <c r="I89"/>
  <c r="H89"/>
  <c r="G89"/>
  <c r="F89"/>
  <c r="E89"/>
  <c r="D89"/>
  <c r="C89"/>
  <c r="B89"/>
  <c r="A89"/>
  <c r="W88"/>
  <c r="Y88" s="1"/>
  <c r="V88"/>
  <c r="U88"/>
  <c r="T88"/>
  <c r="R88"/>
  <c r="Q88"/>
  <c r="P88"/>
  <c r="O88"/>
  <c r="N88"/>
  <c r="M88"/>
  <c r="Z88" s="1"/>
  <c r="L88"/>
  <c r="K88"/>
  <c r="J88"/>
  <c r="I88"/>
  <c r="H88"/>
  <c r="G88"/>
  <c r="F88"/>
  <c r="E88"/>
  <c r="D88"/>
  <c r="C88"/>
  <c r="B88"/>
  <c r="A88"/>
  <c r="Z87"/>
  <c r="W87"/>
  <c r="Y87" s="1"/>
  <c r="V87"/>
  <c r="U87"/>
  <c r="T87"/>
  <c r="R87"/>
  <c r="Q87"/>
  <c r="P87"/>
  <c r="O87"/>
  <c r="N87"/>
  <c r="M87"/>
  <c r="L87"/>
  <c r="K87"/>
  <c r="J87"/>
  <c r="I87"/>
  <c r="H87"/>
  <c r="G87"/>
  <c r="F87"/>
  <c r="E87"/>
  <c r="D87"/>
  <c r="C87"/>
  <c r="B87"/>
  <c r="A87"/>
  <c r="Z86"/>
  <c r="W86"/>
  <c r="Y86" s="1"/>
  <c r="V86"/>
  <c r="U86"/>
  <c r="T86"/>
  <c r="R86"/>
  <c r="Q86"/>
  <c r="P86"/>
  <c r="O86"/>
  <c r="N86"/>
  <c r="M86"/>
  <c r="L86"/>
  <c r="K86"/>
  <c r="J86"/>
  <c r="I86"/>
  <c r="H86"/>
  <c r="G86"/>
  <c r="F86"/>
  <c r="E86"/>
  <c r="D86"/>
  <c r="C86"/>
  <c r="B86"/>
  <c r="A86"/>
  <c r="Z85"/>
  <c r="W85"/>
  <c r="Y85" s="1"/>
  <c r="V85"/>
  <c r="U85"/>
  <c r="T85"/>
  <c r="R85"/>
  <c r="Q85"/>
  <c r="P85"/>
  <c r="O85"/>
  <c r="N85"/>
  <c r="M85"/>
  <c r="L85"/>
  <c r="K85"/>
  <c r="J85"/>
  <c r="I85"/>
  <c r="H85"/>
  <c r="G85"/>
  <c r="F85"/>
  <c r="E85"/>
  <c r="D85"/>
  <c r="C85"/>
  <c r="B85"/>
  <c r="A85"/>
  <c r="Z84"/>
  <c r="W84"/>
  <c r="Y84" s="1"/>
  <c r="V84"/>
  <c r="U84"/>
  <c r="T84"/>
  <c r="R84"/>
  <c r="Q84"/>
  <c r="P84"/>
  <c r="O84"/>
  <c r="N84"/>
  <c r="M84"/>
  <c r="L84"/>
  <c r="K84"/>
  <c r="J84"/>
  <c r="I84"/>
  <c r="H84"/>
  <c r="G84"/>
  <c r="F84"/>
  <c r="E84"/>
  <c r="B84"/>
  <c r="A84"/>
  <c r="W83"/>
  <c r="Y83" s="1"/>
  <c r="V83"/>
  <c r="U83"/>
  <c r="T83"/>
  <c r="R83"/>
  <c r="Q83"/>
  <c r="P83"/>
  <c r="O83"/>
  <c r="N83"/>
  <c r="L83"/>
  <c r="K83"/>
  <c r="J83"/>
  <c r="M83" s="1"/>
  <c r="Z83" s="1"/>
  <c r="I83"/>
  <c r="H83"/>
  <c r="G83"/>
  <c r="F83"/>
  <c r="E83"/>
  <c r="D83"/>
  <c r="C83"/>
  <c r="B83"/>
  <c r="A83"/>
  <c r="W82"/>
  <c r="Y82" s="1"/>
  <c r="V82"/>
  <c r="U82"/>
  <c r="T82"/>
  <c r="R82"/>
  <c r="Q82"/>
  <c r="P82"/>
  <c r="O82"/>
  <c r="N82"/>
  <c r="L82"/>
  <c r="K82"/>
  <c r="J82"/>
  <c r="M82" s="1"/>
  <c r="Z82" s="1"/>
  <c r="I82"/>
  <c r="H82"/>
  <c r="G82"/>
  <c r="F82"/>
  <c r="E82"/>
  <c r="D82"/>
  <c r="C82"/>
  <c r="B82"/>
  <c r="A82"/>
  <c r="W81"/>
  <c r="Y81" s="1"/>
  <c r="V81"/>
  <c r="U81"/>
  <c r="T81"/>
  <c r="R81"/>
  <c r="Q81"/>
  <c r="P81"/>
  <c r="O81"/>
  <c r="N81"/>
  <c r="L81"/>
  <c r="K81"/>
  <c r="J81"/>
  <c r="M81" s="1"/>
  <c r="Z81" s="1"/>
  <c r="I81"/>
  <c r="H81"/>
  <c r="G81"/>
  <c r="F81"/>
  <c r="E81"/>
  <c r="D81"/>
  <c r="C81"/>
  <c r="B81"/>
  <c r="A81"/>
  <c r="W80"/>
  <c r="Y80" s="1"/>
  <c r="V80"/>
  <c r="U80"/>
  <c r="T80"/>
  <c r="R80"/>
  <c r="Q80"/>
  <c r="P80"/>
  <c r="O80"/>
  <c r="N80"/>
  <c r="L80"/>
  <c r="K80"/>
  <c r="J80"/>
  <c r="M80" s="1"/>
  <c r="Z80" s="1"/>
  <c r="I80"/>
  <c r="H80"/>
  <c r="G80"/>
  <c r="F80"/>
  <c r="E80"/>
  <c r="D80"/>
  <c r="C80"/>
  <c r="B80"/>
  <c r="A80"/>
  <c r="W79"/>
  <c r="Y79" s="1"/>
  <c r="V79"/>
  <c r="U79"/>
  <c r="T79"/>
  <c r="R79"/>
  <c r="Q79"/>
  <c r="P79"/>
  <c r="O79"/>
  <c r="N79"/>
  <c r="L79"/>
  <c r="K79"/>
  <c r="J79"/>
  <c r="M79" s="1"/>
  <c r="Z79" s="1"/>
  <c r="I79"/>
  <c r="H79"/>
  <c r="G79"/>
  <c r="F79"/>
  <c r="E79"/>
  <c r="B79"/>
  <c r="A79"/>
  <c r="V78"/>
  <c r="U78"/>
  <c r="W78" s="1"/>
  <c r="Y78" s="1"/>
  <c r="T78"/>
  <c r="R78"/>
  <c r="Q78"/>
  <c r="P78"/>
  <c r="O78"/>
  <c r="N78"/>
  <c r="L78"/>
  <c r="K78"/>
  <c r="J78"/>
  <c r="M78" s="1"/>
  <c r="Z78" s="1"/>
  <c r="I78"/>
  <c r="H78"/>
  <c r="G78"/>
  <c r="F78"/>
  <c r="E78"/>
  <c r="D78"/>
  <c r="C78"/>
  <c r="B78"/>
  <c r="A78"/>
  <c r="W77"/>
  <c r="Y77" s="1"/>
  <c r="V77"/>
  <c r="U77"/>
  <c r="T77"/>
  <c r="R77"/>
  <c r="Q77"/>
  <c r="P77"/>
  <c r="O77"/>
  <c r="N77"/>
  <c r="L77"/>
  <c r="K77"/>
  <c r="J77"/>
  <c r="M77" s="1"/>
  <c r="Z77" s="1"/>
  <c r="I77"/>
  <c r="H77"/>
  <c r="G77"/>
  <c r="F77"/>
  <c r="E77"/>
  <c r="B77"/>
  <c r="A77"/>
  <c r="X76"/>
  <c r="V76"/>
  <c r="U76"/>
  <c r="W76" s="1"/>
  <c r="T76"/>
  <c r="R76"/>
  <c r="Q76"/>
  <c r="P76"/>
  <c r="O76"/>
  <c r="N76"/>
  <c r="L76"/>
  <c r="K76"/>
  <c r="J76"/>
  <c r="M76" s="1"/>
  <c r="Z76" s="1"/>
  <c r="I76"/>
  <c r="H76"/>
  <c r="G76"/>
  <c r="F76"/>
  <c r="E76"/>
  <c r="B76"/>
  <c r="A76"/>
  <c r="V75"/>
  <c r="U75"/>
  <c r="T75"/>
  <c r="R75"/>
  <c r="Q75"/>
  <c r="P75"/>
  <c r="O75"/>
  <c r="N75"/>
  <c r="L75"/>
  <c r="K75"/>
  <c r="J75"/>
  <c r="M75" s="1"/>
  <c r="Z75" s="1"/>
  <c r="I75"/>
  <c r="H75"/>
  <c r="G75"/>
  <c r="F75"/>
  <c r="E75"/>
  <c r="D75"/>
  <c r="C75"/>
  <c r="B75"/>
  <c r="A75"/>
  <c r="V74"/>
  <c r="U74"/>
  <c r="S74"/>
  <c r="T74" s="1"/>
  <c r="R74"/>
  <c r="Q74"/>
  <c r="P74"/>
  <c r="O74"/>
  <c r="N74"/>
  <c r="L74"/>
  <c r="K74"/>
  <c r="J74"/>
  <c r="M74" s="1"/>
  <c r="Z74" s="1"/>
  <c r="I74"/>
  <c r="H74"/>
  <c r="G74"/>
  <c r="F74"/>
  <c r="E74"/>
  <c r="D74"/>
  <c r="C74"/>
  <c r="B74"/>
  <c r="A74"/>
  <c r="V73"/>
  <c r="U73"/>
  <c r="W73" s="1"/>
  <c r="Y73" s="1"/>
  <c r="T73"/>
  <c r="R73"/>
  <c r="Q73"/>
  <c r="P73"/>
  <c r="O73"/>
  <c r="N73"/>
  <c r="L73"/>
  <c r="K73"/>
  <c r="J73"/>
  <c r="M73" s="1"/>
  <c r="Z73" s="1"/>
  <c r="I73"/>
  <c r="H73"/>
  <c r="G73"/>
  <c r="F73"/>
  <c r="E73"/>
  <c r="D73"/>
  <c r="C73"/>
  <c r="B73"/>
  <c r="A73"/>
  <c r="V72"/>
  <c r="U72"/>
  <c r="W72" s="1"/>
  <c r="Y72" s="1"/>
  <c r="T72"/>
  <c r="R72"/>
  <c r="Q72"/>
  <c r="P72"/>
  <c r="O72"/>
  <c r="N72"/>
  <c r="L72"/>
  <c r="K72"/>
  <c r="J72"/>
  <c r="M72" s="1"/>
  <c r="Z72" s="1"/>
  <c r="I72"/>
  <c r="H72"/>
  <c r="G72"/>
  <c r="F72"/>
  <c r="E72"/>
  <c r="D72"/>
  <c r="C72"/>
  <c r="B72"/>
  <c r="A72"/>
  <c r="V71"/>
  <c r="U71"/>
  <c r="W71" s="1"/>
  <c r="Y71" s="1"/>
  <c r="T71"/>
  <c r="R71"/>
  <c r="Q71"/>
  <c r="P71"/>
  <c r="O71"/>
  <c r="N71"/>
  <c r="L71"/>
  <c r="K71"/>
  <c r="J71"/>
  <c r="M71" s="1"/>
  <c r="Z71" s="1"/>
  <c r="I71"/>
  <c r="H71"/>
  <c r="G71"/>
  <c r="F71"/>
  <c r="E71"/>
  <c r="D71"/>
  <c r="C71"/>
  <c r="B71"/>
  <c r="A71"/>
  <c r="V70"/>
  <c r="U70"/>
  <c r="T70"/>
  <c r="R70"/>
  <c r="W70" s="1"/>
  <c r="Y70" s="1"/>
  <c r="Q70"/>
  <c r="P70"/>
  <c r="O70"/>
  <c r="N70"/>
  <c r="L70"/>
  <c r="K70"/>
  <c r="J70"/>
  <c r="M70" s="1"/>
  <c r="Z70" s="1"/>
  <c r="I70"/>
  <c r="H70"/>
  <c r="G70"/>
  <c r="F70"/>
  <c r="E70"/>
  <c r="D70"/>
  <c r="C70"/>
  <c r="B70"/>
  <c r="A70"/>
  <c r="V69"/>
  <c r="U69"/>
  <c r="W69" s="1"/>
  <c r="Y69" s="1"/>
  <c r="T69"/>
  <c r="R69"/>
  <c r="Q69"/>
  <c r="P69"/>
  <c r="O69"/>
  <c r="N69"/>
  <c r="L69"/>
  <c r="K69"/>
  <c r="J69"/>
  <c r="M69" s="1"/>
  <c r="Z69" s="1"/>
  <c r="I69"/>
  <c r="H69"/>
  <c r="G69"/>
  <c r="F69"/>
  <c r="E69"/>
  <c r="D69"/>
  <c r="C69"/>
  <c r="B69"/>
  <c r="A69"/>
  <c r="V68"/>
  <c r="U68"/>
  <c r="W68" s="1"/>
  <c r="Y68" s="1"/>
  <c r="T68"/>
  <c r="R68"/>
  <c r="Q68"/>
  <c r="P68"/>
  <c r="O68"/>
  <c r="N68"/>
  <c r="L68"/>
  <c r="K68"/>
  <c r="J68"/>
  <c r="M68" s="1"/>
  <c r="Z68" s="1"/>
  <c r="I68"/>
  <c r="H68"/>
  <c r="G68"/>
  <c r="F68"/>
  <c r="E68"/>
  <c r="D68"/>
  <c r="C68"/>
  <c r="B68"/>
  <c r="A68"/>
  <c r="V67"/>
  <c r="U67"/>
  <c r="W67" s="1"/>
  <c r="Y67" s="1"/>
  <c r="T67"/>
  <c r="R67"/>
  <c r="Q67"/>
  <c r="P67"/>
  <c r="O67"/>
  <c r="N67"/>
  <c r="L67"/>
  <c r="K67"/>
  <c r="J67"/>
  <c r="M67" s="1"/>
  <c r="Z67" s="1"/>
  <c r="I67"/>
  <c r="H67"/>
  <c r="G67"/>
  <c r="F67"/>
  <c r="E67"/>
  <c r="D67"/>
  <c r="C67"/>
  <c r="B67"/>
  <c r="A67"/>
  <c r="V66"/>
  <c r="U66"/>
  <c r="T66"/>
  <c r="R66"/>
  <c r="W66" s="1"/>
  <c r="Y66" s="1"/>
  <c r="Q66"/>
  <c r="P66"/>
  <c r="O66"/>
  <c r="N66"/>
  <c r="L66"/>
  <c r="K66"/>
  <c r="J66"/>
  <c r="M66" s="1"/>
  <c r="Z66" s="1"/>
  <c r="I66"/>
  <c r="H66"/>
  <c r="G66"/>
  <c r="F66"/>
  <c r="E66"/>
  <c r="D66"/>
  <c r="C66"/>
  <c r="B66"/>
  <c r="A66"/>
  <c r="V65"/>
  <c r="U65"/>
  <c r="W65" s="1"/>
  <c r="Y65" s="1"/>
  <c r="T65"/>
  <c r="R65"/>
  <c r="Q65"/>
  <c r="P65"/>
  <c r="O65"/>
  <c r="N65"/>
  <c r="L65"/>
  <c r="K65"/>
  <c r="J65"/>
  <c r="M65" s="1"/>
  <c r="Z65" s="1"/>
  <c r="I65"/>
  <c r="H65"/>
  <c r="G65"/>
  <c r="F65"/>
  <c r="E65"/>
  <c r="D65"/>
  <c r="C65"/>
  <c r="B65"/>
  <c r="A65"/>
  <c r="V64"/>
  <c r="U64"/>
  <c r="W64" s="1"/>
  <c r="Y64" s="1"/>
  <c r="T64"/>
  <c r="R64"/>
  <c r="Q64"/>
  <c r="P64"/>
  <c r="O64"/>
  <c r="N64"/>
  <c r="L64"/>
  <c r="K64"/>
  <c r="J64"/>
  <c r="M64" s="1"/>
  <c r="Z64" s="1"/>
  <c r="I64"/>
  <c r="H64"/>
  <c r="G64"/>
  <c r="F64"/>
  <c r="E64"/>
  <c r="B64"/>
  <c r="A64"/>
  <c r="V63"/>
  <c r="U63"/>
  <c r="T63"/>
  <c r="R63"/>
  <c r="Q63"/>
  <c r="P63"/>
  <c r="O63"/>
  <c r="N63"/>
  <c r="L63"/>
  <c r="K63"/>
  <c r="M63" s="1"/>
  <c r="Z63" s="1"/>
  <c r="J63"/>
  <c r="I63"/>
  <c r="H63"/>
  <c r="G63"/>
  <c r="F63"/>
  <c r="E63"/>
  <c r="D63"/>
  <c r="C63"/>
  <c r="B63"/>
  <c r="A63"/>
  <c r="V62"/>
  <c r="U62"/>
  <c r="T62"/>
  <c r="R62"/>
  <c r="Q62"/>
  <c r="P62"/>
  <c r="O62"/>
  <c r="N62"/>
  <c r="L62"/>
  <c r="K62"/>
  <c r="M62" s="1"/>
  <c r="Z62" s="1"/>
  <c r="J62"/>
  <c r="I62"/>
  <c r="H62"/>
  <c r="G62"/>
  <c r="F62"/>
  <c r="E62"/>
  <c r="D62"/>
  <c r="C62"/>
  <c r="B62"/>
  <c r="A62"/>
  <c r="V61"/>
  <c r="U61"/>
  <c r="T61"/>
  <c r="R61"/>
  <c r="Q61"/>
  <c r="P61"/>
  <c r="O61"/>
  <c r="N61"/>
  <c r="L61"/>
  <c r="K61"/>
  <c r="M61" s="1"/>
  <c r="Z61" s="1"/>
  <c r="J61"/>
  <c r="I61"/>
  <c r="H61"/>
  <c r="G61"/>
  <c r="F61"/>
  <c r="E61"/>
  <c r="D61"/>
  <c r="C61"/>
  <c r="B61"/>
  <c r="A61"/>
  <c r="V60"/>
  <c r="U60"/>
  <c r="T60"/>
  <c r="R60"/>
  <c r="Q60"/>
  <c r="P60"/>
  <c r="O60"/>
  <c r="N60"/>
  <c r="L60"/>
  <c r="K60"/>
  <c r="M60" s="1"/>
  <c r="Z60" s="1"/>
  <c r="J60"/>
  <c r="I60"/>
  <c r="H60"/>
  <c r="G60"/>
  <c r="F60"/>
  <c r="E60"/>
  <c r="D60"/>
  <c r="C60"/>
  <c r="B60"/>
  <c r="A60"/>
  <c r="V59"/>
  <c r="U59"/>
  <c r="T59"/>
  <c r="R59"/>
  <c r="Q59"/>
  <c r="P59"/>
  <c r="O59"/>
  <c r="N59"/>
  <c r="L59"/>
  <c r="K59"/>
  <c r="M59" s="1"/>
  <c r="Z59" s="1"/>
  <c r="J59"/>
  <c r="I59"/>
  <c r="H59"/>
  <c r="G59"/>
  <c r="F59"/>
  <c r="E59"/>
  <c r="D59"/>
  <c r="C59"/>
  <c r="B59"/>
  <c r="A59"/>
  <c r="V58"/>
  <c r="U58"/>
  <c r="T58"/>
  <c r="R58"/>
  <c r="Q58"/>
  <c r="P58"/>
  <c r="O58"/>
  <c r="N58"/>
  <c r="L58"/>
  <c r="K58"/>
  <c r="M58" s="1"/>
  <c r="Z58" s="1"/>
  <c r="J58"/>
  <c r="I58"/>
  <c r="H58"/>
  <c r="G58"/>
  <c r="F58"/>
  <c r="E58"/>
  <c r="D58"/>
  <c r="C58"/>
  <c r="B58"/>
  <c r="A58"/>
  <c r="V57"/>
  <c r="U57"/>
  <c r="T57"/>
  <c r="R57"/>
  <c r="Q57"/>
  <c r="P57"/>
  <c r="O57"/>
  <c r="N57"/>
  <c r="L57"/>
  <c r="K57"/>
  <c r="M57" s="1"/>
  <c r="Z57" s="1"/>
  <c r="J57"/>
  <c r="I57"/>
  <c r="H57"/>
  <c r="G57"/>
  <c r="F57"/>
  <c r="E57"/>
  <c r="D57"/>
  <c r="C57"/>
  <c r="B57"/>
  <c r="A57"/>
  <c r="V56"/>
  <c r="U56"/>
  <c r="T56"/>
  <c r="R56"/>
  <c r="Q56"/>
  <c r="P56"/>
  <c r="O56"/>
  <c r="N56"/>
  <c r="L56"/>
  <c r="K56"/>
  <c r="M56" s="1"/>
  <c r="Z56" s="1"/>
  <c r="J56"/>
  <c r="I56"/>
  <c r="H56"/>
  <c r="G56"/>
  <c r="F56"/>
  <c r="E56"/>
  <c r="D56"/>
  <c r="C56"/>
  <c r="B56"/>
  <c r="A56"/>
  <c r="V55"/>
  <c r="U55"/>
  <c r="T55"/>
  <c r="R55"/>
  <c r="Q55"/>
  <c r="P55"/>
  <c r="O55"/>
  <c r="N55"/>
  <c r="L55"/>
  <c r="K55"/>
  <c r="M55" s="1"/>
  <c r="Z55" s="1"/>
  <c r="J55"/>
  <c r="I55"/>
  <c r="H55"/>
  <c r="G55"/>
  <c r="F55"/>
  <c r="E55"/>
  <c r="D55"/>
  <c r="C55"/>
  <c r="B55"/>
  <c r="A55"/>
  <c r="V54"/>
  <c r="U54"/>
  <c r="T54"/>
  <c r="R54"/>
  <c r="Q54"/>
  <c r="P54"/>
  <c r="O54"/>
  <c r="N54"/>
  <c r="L54"/>
  <c r="K54"/>
  <c r="M54" s="1"/>
  <c r="Z54" s="1"/>
  <c r="J54"/>
  <c r="I54"/>
  <c r="H54"/>
  <c r="G54"/>
  <c r="F54"/>
  <c r="E54"/>
  <c r="D54"/>
  <c r="C54"/>
  <c r="B54"/>
  <c r="A54"/>
  <c r="V53"/>
  <c r="U53"/>
  <c r="W53" s="1"/>
  <c r="Y53" s="1"/>
  <c r="T53"/>
  <c r="R53"/>
  <c r="Q53"/>
  <c r="P53"/>
  <c r="O53"/>
  <c r="N53"/>
  <c r="L53"/>
  <c r="K53"/>
  <c r="M53" s="1"/>
  <c r="Z53" s="1"/>
  <c r="J53"/>
  <c r="I53"/>
  <c r="H53"/>
  <c r="G53"/>
  <c r="F53"/>
  <c r="E53"/>
  <c r="D53"/>
  <c r="C53"/>
  <c r="B53"/>
  <c r="A53"/>
  <c r="V52"/>
  <c r="U52"/>
  <c r="T52"/>
  <c r="R52"/>
  <c r="Q52"/>
  <c r="P52"/>
  <c r="O52"/>
  <c r="N52"/>
  <c r="L52"/>
  <c r="K52"/>
  <c r="M52" s="1"/>
  <c r="Z52" s="1"/>
  <c r="J52"/>
  <c r="I52"/>
  <c r="H52"/>
  <c r="G52"/>
  <c r="F52"/>
  <c r="E52"/>
  <c r="B52"/>
  <c r="A52"/>
  <c r="V51"/>
  <c r="U51"/>
  <c r="T51"/>
  <c r="R51"/>
  <c r="W51" s="1"/>
  <c r="Y51" s="1"/>
  <c r="Q51"/>
  <c r="P51"/>
  <c r="O51"/>
  <c r="N51"/>
  <c r="L51"/>
  <c r="K51"/>
  <c r="J51"/>
  <c r="M51" s="1"/>
  <c r="Z51" s="1"/>
  <c r="I51"/>
  <c r="H51"/>
  <c r="G51"/>
  <c r="F51"/>
  <c r="E51"/>
  <c r="D51"/>
  <c r="C51"/>
  <c r="B51"/>
  <c r="A51"/>
  <c r="V50"/>
  <c r="U50"/>
  <c r="T50"/>
  <c r="R50"/>
  <c r="W50" s="1"/>
  <c r="Y50" s="1"/>
  <c r="Q50"/>
  <c r="P50"/>
  <c r="O50"/>
  <c r="N50"/>
  <c r="M50" s="1"/>
  <c r="Z50" s="1"/>
  <c r="L50"/>
  <c r="K50"/>
  <c r="J50"/>
  <c r="I50"/>
  <c r="H50"/>
  <c r="G50"/>
  <c r="F50"/>
  <c r="E50"/>
  <c r="D50"/>
  <c r="C50"/>
  <c r="B50"/>
  <c r="A50"/>
  <c r="V49"/>
  <c r="U49"/>
  <c r="T49"/>
  <c r="R49"/>
  <c r="W49" s="1"/>
  <c r="Y49" s="1"/>
  <c r="Q49"/>
  <c r="P49"/>
  <c r="O49"/>
  <c r="N49"/>
  <c r="M49" s="1"/>
  <c r="Z49" s="1"/>
  <c r="L49"/>
  <c r="K49"/>
  <c r="J49"/>
  <c r="I49"/>
  <c r="H49"/>
  <c r="G49"/>
  <c r="F49"/>
  <c r="E49"/>
  <c r="D49"/>
  <c r="C49"/>
  <c r="B49"/>
  <c r="A49"/>
  <c r="V48"/>
  <c r="U48"/>
  <c r="T48"/>
  <c r="R48"/>
  <c r="W48" s="1"/>
  <c r="Y48" s="1"/>
  <c r="Q48"/>
  <c r="P48"/>
  <c r="O48"/>
  <c r="N48"/>
  <c r="M48" s="1"/>
  <c r="Z48" s="1"/>
  <c r="L48"/>
  <c r="K48"/>
  <c r="J48"/>
  <c r="I48"/>
  <c r="H48"/>
  <c r="G48"/>
  <c r="F48"/>
  <c r="E48"/>
  <c r="D48"/>
  <c r="C48"/>
  <c r="B48"/>
  <c r="A48"/>
  <c r="V47"/>
  <c r="U47"/>
  <c r="T47"/>
  <c r="R47"/>
  <c r="W47" s="1"/>
  <c r="Y47" s="1"/>
  <c r="Q47"/>
  <c r="P47"/>
  <c r="O47"/>
  <c r="N47"/>
  <c r="M47" s="1"/>
  <c r="Z47" s="1"/>
  <c r="L47"/>
  <c r="K47"/>
  <c r="J47"/>
  <c r="I47"/>
  <c r="H47"/>
  <c r="G47"/>
  <c r="F47"/>
  <c r="E47"/>
  <c r="D47"/>
  <c r="C47"/>
  <c r="B47"/>
  <c r="A47"/>
  <c r="V46"/>
  <c r="U46"/>
  <c r="T46"/>
  <c r="R46"/>
  <c r="W46" s="1"/>
  <c r="Y46" s="1"/>
  <c r="Q46"/>
  <c r="P46"/>
  <c r="O46"/>
  <c r="N46"/>
  <c r="M46" s="1"/>
  <c r="Z46" s="1"/>
  <c r="L46"/>
  <c r="K46"/>
  <c r="J46"/>
  <c r="I46"/>
  <c r="H46"/>
  <c r="G46"/>
  <c r="F46"/>
  <c r="E46"/>
  <c r="D46"/>
  <c r="C46"/>
  <c r="B46"/>
  <c r="A46"/>
  <c r="V45"/>
  <c r="U45"/>
  <c r="T45"/>
  <c r="R45"/>
  <c r="W45" s="1"/>
  <c r="Y45" s="1"/>
  <c r="Q45"/>
  <c r="P45"/>
  <c r="N45"/>
  <c r="M45" s="1"/>
  <c r="Z45" s="1"/>
  <c r="L45"/>
  <c r="K45"/>
  <c r="J45"/>
  <c r="I45"/>
  <c r="H45"/>
  <c r="G45"/>
  <c r="F45"/>
  <c r="E45"/>
  <c r="D45"/>
  <c r="C45"/>
  <c r="B45"/>
  <c r="A45"/>
  <c r="V44"/>
  <c r="U44"/>
  <c r="W44" s="1"/>
  <c r="Y44" s="1"/>
  <c r="T44"/>
  <c r="R44"/>
  <c r="Q44"/>
  <c r="P44"/>
  <c r="O44"/>
  <c r="N44"/>
  <c r="M44"/>
  <c r="Z44" s="1"/>
  <c r="L44"/>
  <c r="K44"/>
  <c r="J44"/>
  <c r="I44"/>
  <c r="H44"/>
  <c r="G44"/>
  <c r="F44"/>
  <c r="E44"/>
  <c r="D44"/>
  <c r="C44"/>
  <c r="B44"/>
  <c r="A44"/>
  <c r="V43"/>
  <c r="U43"/>
  <c r="W43" s="1"/>
  <c r="Y43" s="1"/>
  <c r="T43"/>
  <c r="R43"/>
  <c r="Q43"/>
  <c r="P43"/>
  <c r="O43"/>
  <c r="N43"/>
  <c r="M43"/>
  <c r="Z43" s="1"/>
  <c r="L43"/>
  <c r="K43"/>
  <c r="J43"/>
  <c r="I43"/>
  <c r="H43"/>
  <c r="G43"/>
  <c r="F43"/>
  <c r="E43"/>
  <c r="D43"/>
  <c r="C43"/>
  <c r="B43"/>
  <c r="A43"/>
  <c r="V42"/>
  <c r="U42"/>
  <c r="W42" s="1"/>
  <c r="Y42" s="1"/>
  <c r="T42"/>
  <c r="R42"/>
  <c r="Q42"/>
  <c r="P42"/>
  <c r="O42"/>
  <c r="N42"/>
  <c r="M42"/>
  <c r="Z42" s="1"/>
  <c r="L42"/>
  <c r="K42"/>
  <c r="J42"/>
  <c r="I42"/>
  <c r="H42"/>
  <c r="G42"/>
  <c r="F42"/>
  <c r="E42"/>
  <c r="D42"/>
  <c r="C42"/>
  <c r="B42"/>
  <c r="A42"/>
  <c r="V41"/>
  <c r="U41"/>
  <c r="W41" s="1"/>
  <c r="Y41" s="1"/>
  <c r="T41"/>
  <c r="R41"/>
  <c r="Q41"/>
  <c r="P41"/>
  <c r="O41"/>
  <c r="N41"/>
  <c r="M41" s="1"/>
  <c r="Z41" s="1"/>
  <c r="L41"/>
  <c r="K41"/>
  <c r="J41"/>
  <c r="I41"/>
  <c r="H41"/>
  <c r="G41"/>
  <c r="F41"/>
  <c r="E41"/>
  <c r="D41"/>
  <c r="C41"/>
  <c r="B41"/>
  <c r="A41"/>
  <c r="V40"/>
  <c r="U40"/>
  <c r="W40" s="1"/>
  <c r="Y40" s="1"/>
  <c r="T40"/>
  <c r="R40"/>
  <c r="Q40"/>
  <c r="P40"/>
  <c r="O40"/>
  <c r="N40"/>
  <c r="M40"/>
  <c r="Z40" s="1"/>
  <c r="L40"/>
  <c r="K40"/>
  <c r="J40"/>
  <c r="I40"/>
  <c r="H40"/>
  <c r="G40"/>
  <c r="F40"/>
  <c r="E40"/>
  <c r="D40"/>
  <c r="C40"/>
  <c r="B40"/>
  <c r="A40"/>
  <c r="V39"/>
  <c r="U39"/>
  <c r="W39" s="1"/>
  <c r="Y39" s="1"/>
  <c r="T39"/>
  <c r="R39"/>
  <c r="Q39"/>
  <c r="P39"/>
  <c r="O39"/>
  <c r="N39"/>
  <c r="M39"/>
  <c r="Z39" s="1"/>
  <c r="L39"/>
  <c r="K39"/>
  <c r="J39"/>
  <c r="I39"/>
  <c r="H39"/>
  <c r="G39"/>
  <c r="F39"/>
  <c r="E39"/>
  <c r="D39"/>
  <c r="C39"/>
  <c r="B39"/>
  <c r="A39"/>
  <c r="V38"/>
  <c r="U38"/>
  <c r="W38" s="1"/>
  <c r="Y38" s="1"/>
  <c r="T38"/>
  <c r="R38"/>
  <c r="Q38"/>
  <c r="P38"/>
  <c r="O38"/>
  <c r="N38"/>
  <c r="M38"/>
  <c r="Z38" s="1"/>
  <c r="L38"/>
  <c r="K38"/>
  <c r="J38"/>
  <c r="I38"/>
  <c r="H38"/>
  <c r="G38"/>
  <c r="F38"/>
  <c r="E38"/>
  <c r="D38"/>
  <c r="C38"/>
  <c r="B38"/>
  <c r="A38"/>
  <c r="V37"/>
  <c r="U37"/>
  <c r="W37" s="1"/>
  <c r="Y37" s="1"/>
  <c r="T37"/>
  <c r="R37"/>
  <c r="Q37"/>
  <c r="P37"/>
  <c r="O37"/>
  <c r="N37"/>
  <c r="M37" s="1"/>
  <c r="Z37" s="1"/>
  <c r="L37"/>
  <c r="K37"/>
  <c r="J37"/>
  <c r="I37"/>
  <c r="H37"/>
  <c r="G37"/>
  <c r="F37"/>
  <c r="E37"/>
  <c r="D37"/>
  <c r="C37"/>
  <c r="B37"/>
  <c r="A37"/>
  <c r="V36"/>
  <c r="U36"/>
  <c r="W36" s="1"/>
  <c r="Y36" s="1"/>
  <c r="T36"/>
  <c r="R36"/>
  <c r="Q36"/>
  <c r="P36"/>
  <c r="O36"/>
  <c r="N36"/>
  <c r="M36"/>
  <c r="Z36" s="1"/>
  <c r="L36"/>
  <c r="K36"/>
  <c r="J36"/>
  <c r="I36"/>
  <c r="H36"/>
  <c r="G36"/>
  <c r="F36"/>
  <c r="E36"/>
  <c r="B36"/>
  <c r="A36"/>
  <c r="Y35"/>
  <c r="V35"/>
  <c r="U35"/>
  <c r="T35"/>
  <c r="R35"/>
  <c r="W35" s="1"/>
  <c r="Q35"/>
  <c r="P35"/>
  <c r="O35"/>
  <c r="N35"/>
  <c r="L35"/>
  <c r="K35"/>
  <c r="M35" s="1"/>
  <c r="Z35" s="1"/>
  <c r="J35"/>
  <c r="I35"/>
  <c r="H35"/>
  <c r="G35"/>
  <c r="F35"/>
  <c r="E35"/>
  <c r="D35"/>
  <c r="C35"/>
  <c r="B35"/>
  <c r="A35"/>
  <c r="Y34"/>
  <c r="V34"/>
  <c r="U34"/>
  <c r="T34"/>
  <c r="R34"/>
  <c r="W34" s="1"/>
  <c r="Q34"/>
  <c r="P34"/>
  <c r="O34"/>
  <c r="N34"/>
  <c r="L34"/>
  <c r="K34"/>
  <c r="M34" s="1"/>
  <c r="Z34" s="1"/>
  <c r="J34"/>
  <c r="I34"/>
  <c r="H34"/>
  <c r="G34"/>
  <c r="F34"/>
  <c r="E34"/>
  <c r="D34"/>
  <c r="C34"/>
  <c r="B34"/>
  <c r="A34"/>
  <c r="V33"/>
  <c r="U33"/>
  <c r="T33"/>
  <c r="R33"/>
  <c r="W33" s="1"/>
  <c r="Y33" s="1"/>
  <c r="Q33"/>
  <c r="P33"/>
  <c r="O33"/>
  <c r="N33"/>
  <c r="M33"/>
  <c r="Z33" s="1"/>
  <c r="L33"/>
  <c r="K33"/>
  <c r="J33"/>
  <c r="I33"/>
  <c r="H33"/>
  <c r="G33"/>
  <c r="F33"/>
  <c r="E33"/>
  <c r="D33"/>
  <c r="C33"/>
  <c r="B33"/>
  <c r="A33"/>
  <c r="U32"/>
  <c r="W32" s="1"/>
  <c r="Y32" s="1"/>
  <c r="T32"/>
  <c r="R32"/>
  <c r="Q32"/>
  <c r="P32"/>
  <c r="O32"/>
  <c r="N32"/>
  <c r="L32"/>
  <c r="K32"/>
  <c r="J32"/>
  <c r="M32" s="1"/>
  <c r="Z32" s="1"/>
  <c r="I32"/>
  <c r="H32"/>
  <c r="G32"/>
  <c r="F32"/>
  <c r="E32"/>
  <c r="D32"/>
  <c r="C32"/>
  <c r="B32"/>
  <c r="A32"/>
  <c r="Y31"/>
  <c r="W31"/>
  <c r="V31"/>
  <c r="U31"/>
  <c r="T31"/>
  <c r="R31"/>
  <c r="Q31"/>
  <c r="P31"/>
  <c r="O31"/>
  <c r="N31"/>
  <c r="L31"/>
  <c r="K31"/>
  <c r="J31"/>
  <c r="M31" s="1"/>
  <c r="Z31" s="1"/>
  <c r="I31"/>
  <c r="H31"/>
  <c r="G31"/>
  <c r="F31"/>
  <c r="E31"/>
  <c r="D31"/>
  <c r="C31"/>
  <c r="B31"/>
  <c r="A31"/>
  <c r="Y30"/>
  <c r="W30"/>
  <c r="V30"/>
  <c r="U30"/>
  <c r="T30"/>
  <c r="R30"/>
  <c r="Q30"/>
  <c r="P30"/>
  <c r="O30"/>
  <c r="N30"/>
  <c r="L30"/>
  <c r="K30"/>
  <c r="J30"/>
  <c r="M30" s="1"/>
  <c r="Z30" s="1"/>
  <c r="I30"/>
  <c r="H30"/>
  <c r="G30"/>
  <c r="F30"/>
  <c r="E30"/>
  <c r="D30"/>
  <c r="C30"/>
  <c r="B30"/>
  <c r="A30"/>
  <c r="V29"/>
  <c r="U29"/>
  <c r="W29" s="1"/>
  <c r="Y29" s="1"/>
  <c r="T29"/>
  <c r="R29"/>
  <c r="Q29"/>
  <c r="P29"/>
  <c r="O29"/>
  <c r="N29"/>
  <c r="L29"/>
  <c r="K29"/>
  <c r="J29"/>
  <c r="M29" s="1"/>
  <c r="Z29" s="1"/>
  <c r="I29"/>
  <c r="H29"/>
  <c r="G29"/>
  <c r="F29"/>
  <c r="E29"/>
  <c r="D29"/>
  <c r="C29"/>
  <c r="B29"/>
  <c r="A29"/>
  <c r="V28"/>
  <c r="U28"/>
  <c r="W28" s="1"/>
  <c r="Y28" s="1"/>
  <c r="T28"/>
  <c r="R28"/>
  <c r="Q28"/>
  <c r="P28"/>
  <c r="O28"/>
  <c r="N28"/>
  <c r="L28"/>
  <c r="K28"/>
  <c r="J28"/>
  <c r="M28" s="1"/>
  <c r="Z28" s="1"/>
  <c r="I28"/>
  <c r="H28"/>
  <c r="G28"/>
  <c r="F28"/>
  <c r="E28"/>
  <c r="D28"/>
  <c r="C28"/>
  <c r="B28"/>
  <c r="A28"/>
  <c r="V27"/>
  <c r="U27"/>
  <c r="W27" s="1"/>
  <c r="Y27" s="1"/>
  <c r="T27"/>
  <c r="R27"/>
  <c r="Q27"/>
  <c r="P27"/>
  <c r="O27"/>
  <c r="N27"/>
  <c r="L27"/>
  <c r="K27"/>
  <c r="J27"/>
  <c r="M27" s="1"/>
  <c r="Z27" s="1"/>
  <c r="I27"/>
  <c r="H27"/>
  <c r="G27"/>
  <c r="F27"/>
  <c r="E27"/>
  <c r="D27"/>
  <c r="C27"/>
  <c r="B27"/>
  <c r="A27"/>
  <c r="V26"/>
  <c r="U26"/>
  <c r="W26" s="1"/>
  <c r="Y26" s="1"/>
  <c r="T26"/>
  <c r="R26"/>
  <c r="Q26"/>
  <c r="P26"/>
  <c r="O26"/>
  <c r="N26"/>
  <c r="L26"/>
  <c r="K26"/>
  <c r="J26"/>
  <c r="M26" s="1"/>
  <c r="Z26" s="1"/>
  <c r="I26"/>
  <c r="H26"/>
  <c r="G26"/>
  <c r="F26"/>
  <c r="E26"/>
  <c r="D26"/>
  <c r="C26"/>
  <c r="B26"/>
  <c r="A26"/>
  <c r="X25"/>
  <c r="V25"/>
  <c r="U25"/>
  <c r="T25"/>
  <c r="R25"/>
  <c r="W25" s="1"/>
  <c r="Y25" s="1"/>
  <c r="Q25"/>
  <c r="P25"/>
  <c r="O25"/>
  <c r="N25"/>
  <c r="L25"/>
  <c r="K25"/>
  <c r="M25" s="1"/>
  <c r="Z25" s="1"/>
  <c r="J25"/>
  <c r="I25"/>
  <c r="H25"/>
  <c r="G25"/>
  <c r="F25"/>
  <c r="E25"/>
  <c r="D25"/>
  <c r="C25"/>
  <c r="B25"/>
  <c r="A25"/>
  <c r="V24"/>
  <c r="U24"/>
  <c r="T24"/>
  <c r="R24"/>
  <c r="W24" s="1"/>
  <c r="Y24" s="1"/>
  <c r="Q24"/>
  <c r="P24"/>
  <c r="O24"/>
  <c r="N24"/>
  <c r="L24"/>
  <c r="K24"/>
  <c r="M24" s="1"/>
  <c r="Z24" s="1"/>
  <c r="J24"/>
  <c r="I24"/>
  <c r="H24"/>
  <c r="G24"/>
  <c r="F24"/>
  <c r="E24"/>
  <c r="D24"/>
  <c r="C24"/>
  <c r="B24"/>
  <c r="A24"/>
  <c r="V23"/>
  <c r="U23"/>
  <c r="T23"/>
  <c r="R23"/>
  <c r="W23" s="1"/>
  <c r="Y23" s="1"/>
  <c r="Q23"/>
  <c r="P23"/>
  <c r="O23"/>
  <c r="N23"/>
  <c r="L23"/>
  <c r="K23"/>
  <c r="M23" s="1"/>
  <c r="Z23" s="1"/>
  <c r="J23"/>
  <c r="I23"/>
  <c r="H23"/>
  <c r="G23"/>
  <c r="F23"/>
  <c r="E23"/>
  <c r="D23"/>
  <c r="C23"/>
  <c r="B23"/>
  <c r="A23"/>
  <c r="V22"/>
  <c r="U22"/>
  <c r="T22"/>
  <c r="R22"/>
  <c r="W22" s="1"/>
  <c r="Y22" s="1"/>
  <c r="Q22"/>
  <c r="P22"/>
  <c r="O22"/>
  <c r="N22"/>
  <c r="M22"/>
  <c r="Z22" s="1"/>
  <c r="L22"/>
  <c r="K22"/>
  <c r="J22"/>
  <c r="I22"/>
  <c r="H22"/>
  <c r="G22"/>
  <c r="F22"/>
  <c r="E22"/>
  <c r="D22"/>
  <c r="C22"/>
  <c r="B22"/>
  <c r="A22"/>
  <c r="V21"/>
  <c r="U21"/>
  <c r="T21"/>
  <c r="R21"/>
  <c r="W21" s="1"/>
  <c r="Y21" s="1"/>
  <c r="Q21"/>
  <c r="P21"/>
  <c r="O21"/>
  <c r="N21"/>
  <c r="M21"/>
  <c r="Z21" s="1"/>
  <c r="L21"/>
  <c r="K21"/>
  <c r="J21"/>
  <c r="I21"/>
  <c r="H21"/>
  <c r="G21"/>
  <c r="F21"/>
  <c r="E21"/>
  <c r="D21"/>
  <c r="C21"/>
  <c r="B21"/>
  <c r="A21"/>
  <c r="V20"/>
  <c r="U20"/>
  <c r="T20"/>
  <c r="R20"/>
  <c r="W20" s="1"/>
  <c r="Y20" s="1"/>
  <c r="Q20"/>
  <c r="P20"/>
  <c r="O20"/>
  <c r="N20"/>
  <c r="L20"/>
  <c r="K20"/>
  <c r="M20" s="1"/>
  <c r="Z20" s="1"/>
  <c r="J20"/>
  <c r="I20"/>
  <c r="H20"/>
  <c r="G20"/>
  <c r="F20"/>
  <c r="E20"/>
  <c r="D20"/>
  <c r="C20"/>
  <c r="B20"/>
  <c r="A20"/>
  <c r="Y19"/>
  <c r="V19"/>
  <c r="U19"/>
  <c r="T19"/>
  <c r="R19"/>
  <c r="W19" s="1"/>
  <c r="Q19"/>
  <c r="P19"/>
  <c r="O19"/>
  <c r="N19"/>
  <c r="L19"/>
  <c r="K19"/>
  <c r="M19" s="1"/>
  <c r="Z19" s="1"/>
  <c r="J19"/>
  <c r="I19"/>
  <c r="H19"/>
  <c r="G19"/>
  <c r="F19"/>
  <c r="E19"/>
  <c r="D19"/>
  <c r="C19"/>
  <c r="B19"/>
  <c r="A19"/>
  <c r="Y18"/>
  <c r="V18"/>
  <c r="U18"/>
  <c r="T18"/>
  <c r="R18"/>
  <c r="W18" s="1"/>
  <c r="Q18"/>
  <c r="P18"/>
  <c r="O18"/>
  <c r="N18"/>
  <c r="L18"/>
  <c r="K18"/>
  <c r="M18" s="1"/>
  <c r="Z18" s="1"/>
  <c r="J18"/>
  <c r="I18"/>
  <c r="H18"/>
  <c r="G18"/>
  <c r="F18"/>
  <c r="E18"/>
  <c r="D18"/>
  <c r="C18"/>
  <c r="B18"/>
  <c r="A18"/>
  <c r="Y17"/>
  <c r="V17"/>
  <c r="U17"/>
  <c r="T17"/>
  <c r="R17"/>
  <c r="W17" s="1"/>
  <c r="Q17"/>
  <c r="P17"/>
  <c r="O17"/>
  <c r="N17"/>
  <c r="L17"/>
  <c r="K17"/>
  <c r="M17" s="1"/>
  <c r="Z17" s="1"/>
  <c r="J17"/>
  <c r="I17"/>
  <c r="H17"/>
  <c r="G17"/>
  <c r="F17"/>
  <c r="E17"/>
  <c r="D17"/>
  <c r="C17"/>
  <c r="B17"/>
  <c r="A17"/>
  <c r="Y16"/>
  <c r="V16"/>
  <c r="U16"/>
  <c r="T16"/>
  <c r="R16"/>
  <c r="W16" s="1"/>
  <c r="Q16"/>
  <c r="P16"/>
  <c r="O16"/>
  <c r="N16"/>
  <c r="L16"/>
  <c r="K16"/>
  <c r="M16" s="1"/>
  <c r="Z16" s="1"/>
  <c r="J16"/>
  <c r="I16"/>
  <c r="H16"/>
  <c r="G16"/>
  <c r="F16"/>
  <c r="E16"/>
  <c r="D16"/>
  <c r="C16"/>
  <c r="B16"/>
  <c r="A16"/>
  <c r="V15"/>
  <c r="U15"/>
  <c r="T15"/>
  <c r="R15"/>
  <c r="W15" s="1"/>
  <c r="Y15" s="1"/>
  <c r="Q15"/>
  <c r="P15"/>
  <c r="O15"/>
  <c r="N15"/>
  <c r="M15"/>
  <c r="Z15" s="1"/>
  <c r="L15"/>
  <c r="K15"/>
  <c r="J15"/>
  <c r="I15"/>
  <c r="H15"/>
  <c r="G15"/>
  <c r="F15"/>
  <c r="E15"/>
  <c r="D15"/>
  <c r="C15"/>
  <c r="B15"/>
  <c r="A15"/>
  <c r="V14"/>
  <c r="U14"/>
  <c r="T14"/>
  <c r="R14"/>
  <c r="W14" s="1"/>
  <c r="Y14" s="1"/>
  <c r="Q14"/>
  <c r="P14"/>
  <c r="O14"/>
  <c r="N14"/>
  <c r="M14"/>
  <c r="Z14" s="1"/>
  <c r="L14"/>
  <c r="K14"/>
  <c r="J14"/>
  <c r="I14"/>
  <c r="H14"/>
  <c r="G14"/>
  <c r="F14"/>
  <c r="E14"/>
  <c r="D14"/>
  <c r="C14"/>
  <c r="B14"/>
  <c r="A14"/>
  <c r="V13"/>
  <c r="U13"/>
  <c r="T13"/>
  <c r="R13"/>
  <c r="W13" s="1"/>
  <c r="Y13" s="1"/>
  <c r="Q13"/>
  <c r="P13"/>
  <c r="O13"/>
  <c r="N13"/>
  <c r="L13"/>
  <c r="K13"/>
  <c r="M13" s="1"/>
  <c r="Z13" s="1"/>
  <c r="J13"/>
  <c r="I13"/>
  <c r="H13"/>
  <c r="G13"/>
  <c r="F13"/>
  <c r="E13"/>
  <c r="D13"/>
  <c r="C13"/>
  <c r="B13"/>
  <c r="A13"/>
  <c r="Y12"/>
  <c r="V12"/>
  <c r="U12"/>
  <c r="T12"/>
  <c r="R12"/>
  <c r="Q12"/>
  <c r="P12"/>
  <c r="O12"/>
  <c r="N12"/>
  <c r="L12"/>
  <c r="K12"/>
  <c r="J12"/>
  <c r="M12" s="1"/>
  <c r="Z12" s="1"/>
  <c r="I12"/>
  <c r="H12"/>
  <c r="G12"/>
  <c r="F12"/>
  <c r="E12"/>
  <c r="D12"/>
  <c r="C12"/>
  <c r="B12"/>
  <c r="A12"/>
  <c r="W11"/>
  <c r="Y11" s="1"/>
  <c r="V11"/>
  <c r="U11"/>
  <c r="T11"/>
  <c r="R11"/>
  <c r="Q11"/>
  <c r="P11"/>
  <c r="O11"/>
  <c r="N11"/>
  <c r="L11"/>
  <c r="K11"/>
  <c r="J11"/>
  <c r="M11" s="1"/>
  <c r="Z11" s="1"/>
  <c r="I11"/>
  <c r="H11"/>
  <c r="G11"/>
  <c r="F11"/>
  <c r="E11"/>
  <c r="D11"/>
  <c r="C11"/>
  <c r="B11"/>
  <c r="A11"/>
  <c r="W10"/>
  <c r="Y10" s="1"/>
  <c r="V10"/>
  <c r="U10"/>
  <c r="T10"/>
  <c r="R10"/>
  <c r="Q10"/>
  <c r="P10"/>
  <c r="O10"/>
  <c r="N10"/>
  <c r="L10"/>
  <c r="K10"/>
  <c r="J10"/>
  <c r="M10" s="1"/>
  <c r="Z10" s="1"/>
  <c r="I10"/>
  <c r="H10"/>
  <c r="G10"/>
  <c r="F10"/>
  <c r="E10"/>
  <c r="D10"/>
  <c r="C10"/>
  <c r="B10"/>
  <c r="A10"/>
  <c r="W9"/>
  <c r="Y9" s="1"/>
  <c r="V9"/>
  <c r="U9"/>
  <c r="T9"/>
  <c r="R9"/>
  <c r="Q9"/>
  <c r="P9"/>
  <c r="O9"/>
  <c r="N9"/>
  <c r="L9"/>
  <c r="K9"/>
  <c r="J9"/>
  <c r="M9" s="1"/>
  <c r="Z9" s="1"/>
  <c r="I9"/>
  <c r="H9"/>
  <c r="G9"/>
  <c r="F9"/>
  <c r="E9"/>
  <c r="D9"/>
  <c r="C9"/>
  <c r="B9"/>
  <c r="A9"/>
  <c r="W8"/>
  <c r="Y8" s="1"/>
  <c r="V8"/>
  <c r="U8"/>
  <c r="T8"/>
  <c r="R8"/>
  <c r="Q8"/>
  <c r="P8"/>
  <c r="O8"/>
  <c r="N8"/>
  <c r="L8"/>
  <c r="K8"/>
  <c r="J8"/>
  <c r="M8" s="1"/>
  <c r="Z8" s="1"/>
  <c r="I8"/>
  <c r="H8"/>
  <c r="G8"/>
  <c r="F8"/>
  <c r="E8"/>
  <c r="D8"/>
  <c r="C8"/>
  <c r="B8"/>
  <c r="A8"/>
  <c r="W54" l="1"/>
  <c r="Y54" s="1"/>
  <c r="W122"/>
  <c r="Y122" s="1"/>
  <c r="W128"/>
  <c r="Y128" s="1"/>
  <c r="W134"/>
  <c r="Y134" s="1"/>
  <c r="W140"/>
  <c r="Y140" s="1"/>
  <c r="W57"/>
  <c r="Y57" s="1"/>
  <c r="W60"/>
  <c r="Y60" s="1"/>
  <c r="W63"/>
  <c r="Y63" s="1"/>
  <c r="W115"/>
  <c r="Y115" s="1"/>
  <c r="W55"/>
  <c r="Y55" s="1"/>
  <c r="W58"/>
  <c r="Y58" s="1"/>
  <c r="W61"/>
  <c r="Y61" s="1"/>
  <c r="W75"/>
  <c r="Y75" s="1"/>
  <c r="W112"/>
  <c r="Y112" s="1"/>
  <c r="W121"/>
  <c r="Y121" s="1"/>
  <c r="W127"/>
  <c r="Y127" s="1"/>
  <c r="W133"/>
  <c r="Y133" s="1"/>
  <c r="W74"/>
  <c r="Y74" s="1"/>
  <c r="W56"/>
  <c r="Y56" s="1"/>
  <c r="W59"/>
  <c r="Y59" s="1"/>
  <c r="W62"/>
  <c r="Y62" s="1"/>
  <c r="Y76"/>
  <c r="Y113"/>
  <c r="W52"/>
  <c r="Y52" s="1"/>
  <c r="T89"/>
</calcChain>
</file>

<file path=xl/sharedStrings.xml><?xml version="1.0" encoding="utf-8"?>
<sst xmlns="http://schemas.openxmlformats.org/spreadsheetml/2006/main" count="292" uniqueCount="164">
  <si>
    <t>MAPA DEMONSTRATIVO DE OBRAS E SERVIÇOS DE ENGENHARIA</t>
  </si>
  <si>
    <t>UNIDADE: 5010</t>
  </si>
  <si>
    <t>UNIDADE ORÇAMENTÁRIA: AUTARQUIA DE MANUTENÇÃO E LIMPEZA URBANA – EMLURB</t>
  </si>
  <si>
    <t>EXERCÍCIO: 2023</t>
  </si>
  <si>
    <t>PERÍODO REFERENCIAL: ABRIL A JUNHO</t>
  </si>
  <si>
    <t>Responsável pela Unidade</t>
  </si>
  <si>
    <t>Ordenador de Despesa</t>
  </si>
  <si>
    <t>MODALIDADE / Nº LICITAÇÃO</t>
  </si>
  <si>
    <t>IDENTIFICAÇÃO DA OBRA, SERVIÇO OU AQUISIÇÃO</t>
  </si>
  <si>
    <t>CONVÊNIO</t>
  </si>
  <si>
    <t>CONTRATADO</t>
  </si>
  <si>
    <t>CONTRATO</t>
  </si>
  <si>
    <t>ADITIVO</t>
  </si>
  <si>
    <t>EXECUÇÃO</t>
  </si>
  <si>
    <t>SITUAÇÃO</t>
  </si>
  <si>
    <t>Nº/Ano</t>
  </si>
  <si>
    <t>CONCEDENTE</t>
  </si>
  <si>
    <t>REPASSE
(R$)</t>
  </si>
  <si>
    <t>CONTRAPARTIDA (R$)</t>
  </si>
  <si>
    <t>CNPJ/CPF</t>
  </si>
  <si>
    <t>RAZÃO SOCIAL</t>
  </si>
  <si>
    <t>DATA INÍCIO</t>
  </si>
  <si>
    <t>PRAZO</t>
  </si>
  <si>
    <t>VALOR CONTRATADO (R$)</t>
  </si>
  <si>
    <t>DATA CONCLUSÃO / PARALISAÇÃO</t>
  </si>
  <si>
    <t>PRAZO ADITADO</t>
  </si>
  <si>
    <t>VALOR ADITADO ACUMULADO
(R$)</t>
  </si>
  <si>
    <t>VALOR REAJUSTE</t>
  </si>
  <si>
    <t>NATUREZA DA DESPESA</t>
  </si>
  <si>
    <t>VALOR MEDIDO ACUMULADO
(R$)</t>
  </si>
  <si>
    <t>VALOR PAGO ACUMULADO NO PERÍODO
(R$)</t>
  </si>
  <si>
    <t>VALOR PAGO ACUMULADO NO EXERCÍCIO
(R$)</t>
  </si>
  <si>
    <t>VALOR  PAGO ACUMULADO NA OBRA OU SERVIÇO
(R$)</t>
  </si>
  <si>
    <t xml:space="preserve">      </t>
  </si>
  <si>
    <t>Cancelado</t>
  </si>
  <si>
    <t>007101/2022 e 5636/2023</t>
  </si>
  <si>
    <t xml:space="preserve">BRB e PBL </t>
  </si>
  <si>
    <t>andamento</t>
  </si>
  <si>
    <t>TOMADA DE PREÇOS Licitação: 007/2022</t>
  </si>
  <si>
    <t>CONTRATAÇÃO DE EMPRESA DE ENGENHARIA CONSULTIVA, ESPECIALIZADA EM PROJETO DE ILUMINAÇÃO CÊNICA E ARQUITETURAL, PARA DESENVOLVIMENTO DE ESTUDOS E ELABORAÇÃO DE PROJETOS DE ILUMINAÇÃO DE PRAÇAS, EDIFICAÇÕES E MONUMENTOS HISTÓRICOS DA CIDADE DO RECIFE</t>
  </si>
  <si>
    <t>13.392.132/0001-58</t>
  </si>
  <si>
    <t>CRX ENGENHARIA LTDA - EPP</t>
  </si>
  <si>
    <t>3.3.90.39</t>
  </si>
  <si>
    <t>INEX 002/2023</t>
  </si>
  <si>
    <t>CONTRATAÇÃO DE EMPRESA PARA PRESTAÇÃO DO SERVIÇO DE LIMPEZA DE CANAL UTILIZANDO-SE DO PROCESSO DE BARRAGEM MÓVEL EM DIVERSOS CANAIS DA CIDADE DO RECIFE</t>
  </si>
  <si>
    <t>03.366.083/0001-25</t>
  </si>
  <si>
    <t>HIDROMAX CONSTRUÇOES LTDA</t>
  </si>
  <si>
    <t>CONCORRÊNCIA Licitação: 021/2022</t>
  </si>
  <si>
    <t>EXECUÇÃO DOS SERVIÇOS DE IMPLANTAÇÃO DA REDE DE DRENAGEM COM A UTILIZAÇÃO DE TUBOS DE PEAD, E COBERTURA COM PAVIMENTO RÍGIDO OU FLEXÍVEL - LOTE I</t>
  </si>
  <si>
    <t>06.204.246/0001-61</t>
  </si>
  <si>
    <t>ECAM TERRAPLENAGEM E PAVIMENTACAO LTDA</t>
  </si>
  <si>
    <t>4.4.90.39</t>
  </si>
  <si>
    <t>EXECUÇÃO DOS SERVIÇOS DE IMPLANTAÇÃO DA REDE DE DRENAGEM COM A UTILIZAÇÃO DE TUBOS DE PEAD, E COBERTURA COM PAVIMENTO RÍGIDO OU FLEXÍVEL - LOTE II</t>
  </si>
  <si>
    <t>07.157.925/0001-90</t>
  </si>
  <si>
    <t>WB CONSTRUTORA LTDA</t>
  </si>
  <si>
    <t>EXECUÇÃO DOS SERVIÇOS DE IMPLANTAÇÃO DA REDE DE DRENAGEM COM A UTILIZAÇÃO DE TUBOS DE PEAD, E COBERTURA COM PAVIMENTO RÍGIDO OU FLEXÍVEL - LOTE III</t>
  </si>
  <si>
    <t>10.893.105/0001-70</t>
  </si>
  <si>
    <t>AGILIS CONSTRUTORA LTDA</t>
  </si>
  <si>
    <t>CONCORRÊNCIA Licitação: 024/2022</t>
  </si>
  <si>
    <t>RECUPERAÇÃO DE PASSARELAS, PONTILHÕES E ELEMENTOS LIMITADORES DE ESPAÇO OU PROTEÇÃO, NAS DIVERSAS RPA'S NA CIDADE DO RECIFE</t>
  </si>
  <si>
    <t>10.811.370/0001-62</t>
  </si>
  <si>
    <t>GUERRA CONSTRUCOES LTDA</t>
  </si>
  <si>
    <t>TOMADA DE PREÇOS Licitação: 009/2022</t>
  </si>
  <si>
    <t>CONTRATAÇÃO DE EMPRESA ESPECIALIZADA NO RAMO DE ENGENHARIA PARA EXECUÇÃO DOS SERVIÇOS DE REQUALIFICAÇÃO DA PASSARELA DO PINA E URBANISMO DO SEU ENTORNO</t>
  </si>
  <si>
    <t>08.135.535/0001-81</t>
  </si>
  <si>
    <t>CONSTRUTORA FJ LTDA</t>
  </si>
  <si>
    <t>CONCORRÊNCIA Licitação: 028/2022</t>
  </si>
  <si>
    <t>SERVIÇOS DE IMPLANTAÇÃO DA REDE DE DRENAGEM DE ÁGUAS PLUVIAIS, E PAVIMENTAÇÃO DE VIAS EM DIVERSAS RPA'S DA CIDADE DO RECIFE</t>
  </si>
  <si>
    <t>02.724.778/0001-79</t>
  </si>
  <si>
    <t>UNITERRA - UNIAO TERRAPLENAGEM E CONSTRUCOES LTDA</t>
  </si>
  <si>
    <t>CONCORRÊNCIA Licitação: 003/2023</t>
  </si>
  <si>
    <t>RECUPERAÇÃO DE VIAS URBANAS PAVIMENTADAS EM CONCRETO DE CIMENTO PORTLAND, EM TRECHOS DE VIAS NAS RPA'S 1 A 6 DA CIDADE DO RECIFE</t>
  </si>
  <si>
    <t>00.338.885/0001-33</t>
  </si>
  <si>
    <t>NOVATEC CONSTRUCOES E EMPREENDIMENTOS LTDA</t>
  </si>
  <si>
    <t>6-025/23</t>
  </si>
  <si>
    <t>em elaboração</t>
  </si>
  <si>
    <t>CONCORRÊNCIA Licitação: 001/2023</t>
  </si>
  <si>
    <t>RECUPERAÇÃO DE ESCADARIAS, MUROS E CORRIMÕES LOCALIZADOS NAS DIVERSAS RPAS DA CIDADE DO RECIFE - LOTE I - RPA 2</t>
  </si>
  <si>
    <t>11.523.068/0001-71</t>
  </si>
  <si>
    <t>CONSTRUTORA FAELLA LTDA EPP</t>
  </si>
  <si>
    <t>6-026/23</t>
  </si>
  <si>
    <t>RECUPERAÇÃO DE ESCADARIAS, MUROS E CORRIMÕES LOCALIZADOS NAS DIVERSAS RPAS DA CIDADE DO RECIFE - LOTE II - RPA 3</t>
  </si>
  <si>
    <t>07.693.988/0001-60</t>
  </si>
  <si>
    <t>F R F ENGENHARIA LTDA</t>
  </si>
  <si>
    <t>6-027/23</t>
  </si>
  <si>
    <t>RECUPERAÇÃO DE ESCADARIAS, MUROS E CORRIMÕES LOCALIZADOS NAS DIVERSAS RPAS DA CIDADE DO RECIFE - LOTE III - RPA 4,5 e 6</t>
  </si>
  <si>
    <t>6-028/23</t>
  </si>
  <si>
    <t>DISPENSA 2023</t>
  </si>
  <si>
    <t>SERVIÇO DE MANUTENÇÃO PREVENTIVA DO SISTEMA DE MACRODRENAGEM EM DIVERSOS CANAIS DA RPA'S 04 E 05, SERVIÇOS ESSES RESTANTES DO CONTRATO N° 6.038/2022. PROCESSO N° 15.0002682/2023-21</t>
  </si>
  <si>
    <t>01.514.128/0001-36</t>
  </si>
  <si>
    <t>SCAVE SERVICOS DE ENGENHARIA E LOCACAO LTDA</t>
  </si>
  <si>
    <t>6-029/23</t>
  </si>
  <si>
    <t>PREGÃO ELETRÔNICO Licitação: 011/2023</t>
  </si>
  <si>
    <t>CONTRATAÇÃO DE EMPRESA ESPECIALIZADA PARA CONFECÇÃO E/OU RESTAURO DE ESCULTURAS, MONUMENTOS E BUSTOS EM DIVERSOS LOCAIS DA CIDADE DO RECIFE. (15.001826/2023-21)</t>
  </si>
  <si>
    <t>08.064.693/0001-98</t>
  </si>
  <si>
    <t>CONCREPOXI ENGENHARIA LTDA</t>
  </si>
  <si>
    <t>6-030/23</t>
  </si>
  <si>
    <t>PREGÃO ELETRÔNICO Licitação: 010/2023</t>
  </si>
  <si>
    <t>EXTRAÇÃO DE TESTEMUNHOS DE CONCRETO E REALIZAÇÃO DE ENSAIOS DE RESISTÊNCIA A COMPREENSSÃO E ESPECIAIS PARA INVESTIGAÇÃO DE REAÇÕES ALCALI AGREGADO E DE ETRINGITA TARDIA NOS BLOCOS DE FUNDAÇÃO. (15.001810/2023-19)</t>
  </si>
  <si>
    <t>41.012.964/0001-37</t>
  </si>
  <si>
    <t>TECOMAT ENGENHARIA LTDA</t>
  </si>
  <si>
    <t>6-031/23</t>
  </si>
  <si>
    <t>TOMADA DE PREÇOS Licitação: 001/2023</t>
  </si>
  <si>
    <t>RESTAURAÇÃO DA CAPELA DO CEMITÉRIO DE SANTO AMARO, LOCALIZADA NO BAIRRO DE SANTO AMARO</t>
  </si>
  <si>
    <t>6-032/23</t>
  </si>
  <si>
    <t>CONCORRÊNCIA Licitação: 026/2022</t>
  </si>
  <si>
    <t>MANUTENÇÃO PREVENTIVA E CORRETIVA DO SISTEMA DE ILUMINAÇÃO PÚBLICA CONVENCIONAL DAS RPA`S 2 E 3 DO MUNICÍPIO DO RECIFE EM POSTES ATÉ 12 METROS DE ALTURA - LOTE II</t>
  </si>
  <si>
    <t>41.116.138/0001-38</t>
  </si>
  <si>
    <t>REAL ENERGY LTDA</t>
  </si>
  <si>
    <t>6-034/23</t>
  </si>
  <si>
    <t>PREGÃO ELETRÔNICO Licitação: 002/2023</t>
  </si>
  <si>
    <t>FORNECIMENTO E INSTALAÇÃO DE RELÉS DE TELEGESTÃO NO SISTEMA DE ILUMINAÇÃO PÚBLICA DA CIDADE DO RECIFE-PE. (15.000825/2023-60)</t>
  </si>
  <si>
    <t>01.346.561/0001-00</t>
  </si>
  <si>
    <t>VASCONCELOS E SANTOS LTDA</t>
  </si>
  <si>
    <t>6-036/23</t>
  </si>
  <si>
    <t>CONCORRÊNCIA Licitação: 009/2023</t>
  </si>
  <si>
    <t>REQUALIFICAÇÃO DE PISO E CRIAÇÃO DE ESPAÇOS DE CONVIVÊNCIA EM CEMITÉRIO PÚBLICOS. LOTE I - CEMITERIO DE SANTO AMARO</t>
  </si>
  <si>
    <t>05.625.079/0001-60</t>
  </si>
  <si>
    <t xml:space="preserve">CONSTRUTORA MARDIFI LTDA - EPP </t>
  </si>
  <si>
    <t>6-037/23</t>
  </si>
  <si>
    <t>REQUALIFICAÇÃO DE PISO E CRIAÇÃO DE ESPAÇOS DE CONVIVÊNCIA EM CEMITÉRIO PÚBLICOS. LOTE II - CEMITERIO PARQUE DAS FLORES</t>
  </si>
  <si>
    <t>6-038/23</t>
  </si>
  <si>
    <t>CONCORRÊNCIA Licitação: 008/2023</t>
  </si>
  <si>
    <t>SERVIÇOS DE IMPLANTAÇÃO DA REDE DE DRENAGEM DE ÁGUAS PLUVIAIS E PAVIMENTAÇÃO DE VIAS, EM ÁREAS URBANIZADAS, NA CIDADE DO RECIFE</t>
  </si>
  <si>
    <t>6-039/23</t>
  </si>
  <si>
    <t>CONCORRÊNCIA Licitação: 004/2023</t>
  </si>
  <si>
    <t>SERVIÇOS DE MANUTENÇÃO DO SISTEMA DA MICRODRENAGEM DE ÁGUAS PLUVIAIS DAS RPA 1 DA CIDADE DO RECIFE. LOTE I</t>
  </si>
  <si>
    <t>6-040/23</t>
  </si>
  <si>
    <t>SERVIÇOS DE MANUTENÇÃO DO SISTEMA DA MICRODRENAGEM DE ÁGUAS PLUVIAIS DAS RPAS 2 E 3 DA CIDADE DO RECIFE. LOTE II</t>
  </si>
  <si>
    <t>6-041/23</t>
  </si>
  <si>
    <t>CONTRATAÇÃO DE EMPRESA DE ENGENHARIA PARA REALIZAÇÃO DE MANUTENÇÃO PREVENTIVA E CORRETIVA DO SISTEMA DE ILUMINAÇÃO PÚBLICA CONVENCIONAL DAS RPA`S 1 E 6 DO MUNICÍPIO DO RECIFE EM POSTES COM ATÉ 12 METROS DE ALTURA - LOTE I</t>
  </si>
  <si>
    <t>41.105.990/0001-00</t>
  </si>
  <si>
    <t>ENGERIP CONSTRUCOES E SERVICOS DE ENGENHARIA LTDA</t>
  </si>
  <si>
    <t>6-042/23</t>
  </si>
  <si>
    <t>CONTRATAÇÃO DE EMPRESA DE ENGENHARIA PARA REALIZAÇÃO DE MANUTENÇÃO PREVENTIVA E CORRETIVA DO SISTEMA DE ILUMINAÇÃO PÚBLICA CONVENCIONAL DAS RPA`S 4 E 5 DO MUNICÍPIO DO RECIFE EM POSTES COM ATÉ 12 METROS DE ALTURA - LOTE III</t>
  </si>
  <si>
    <t>6-043/23</t>
  </si>
  <si>
    <t>PREGÃO ELETRÔNICO Licitação : 007/2023</t>
  </si>
  <si>
    <t>FORNECIMENTO E INSTALAÇÃO DE ALAMBRADOS E PISO FULGET, VISANDO ATENDER A DEMANDA DE MANUTENÇÃO DE PARQUES, PRAÇAS E ÁREAS VERDES NA CIDADE DO RECIFE. PROCESSO: 15.000896/2023-62</t>
  </si>
  <si>
    <t>5636/2023</t>
  </si>
  <si>
    <t xml:space="preserve">PBL </t>
  </si>
  <si>
    <t>6-044/23</t>
  </si>
  <si>
    <t>em elaboração (6.052/23)</t>
  </si>
  <si>
    <t>CONCORRÊNCIA Licitação: 005/2023</t>
  </si>
  <si>
    <t>SERVIÇOS DE REQUALIFICAÇÃO, MANUTENÇÃO PREVENTIVA E CORRETIVA DE PRAÇAS, PARQUES E ÁREAS VERDES, CANTEIROS DE AVENIDAS E REFÚGIOS DA CIDADE DO RECIFE LOTE I - RPA 1,2 E 3</t>
  </si>
  <si>
    <t>6-045/23</t>
  </si>
  <si>
    <t>SERVIÇOS DE REQUALIFICAÇÃO, MANUTENÇÃO PREVENTIVA E CORRETIVA DE PRAÇAS, PARQUES E ÁREAS VERDES, CANTEIROS DE AVENIDAS E REFÚGIOS DA CIDADE DO RECIFE LOTE II - RPA 4,5 E 6</t>
  </si>
  <si>
    <t>10.698.641/0001-15</t>
  </si>
  <si>
    <t>CONSTRUTORA MASTER EIRELI ME</t>
  </si>
  <si>
    <t>6-046/23</t>
  </si>
  <si>
    <t>PREGÃO ELETRÔNICO Licitação : 013/2023</t>
  </si>
  <si>
    <t>EXECUÇÃO DE SERVIÇOS PARA IMPLANTAÇÃO E CONSERVÇÃO DE PAISAGISMO DE PARQUES, PRAÇAS E ÁREAS VERDES DA CIDADE DO RECIFE. 15.002149/2023-69</t>
  </si>
  <si>
    <t>08.963.533/0001-80</t>
  </si>
  <si>
    <t>FAR COMERCIO E SERVIÇOS PAISAGISTICOS LTDA</t>
  </si>
  <si>
    <t>6-047/23</t>
  </si>
  <si>
    <t>CONCORRÊNCIA Licitação: 006/2023</t>
  </si>
  <si>
    <t>31.661.468/0001-50</t>
  </si>
  <si>
    <t>CONVERGE SERVICOS DE ENGENHARIA LTDA</t>
  </si>
  <si>
    <t>6-048/23</t>
  </si>
  <si>
    <t>CONCORRÊNCIA Licitação: 002/2023</t>
  </si>
  <si>
    <t>CONTRATAÇÃO DE EMPRESA DE ENGENHARIA, ESPECIALIZADA EM ILUMINAÇÃO PÚBLICA, PARA REALIZARÇÃO DE SERVIÇOS DE MANUTENÇÃO E INSTALAÇÕES PROVISÓRIAS NO SISTEMA DE ILUMINAÇÃO PÚBLICA ESPECIAL DO MUNICÍPIO DO RECIFE EM POSTES COM ATÉ 12 METROS DE ALTURA</t>
  </si>
  <si>
    <t>32.185.141/0001-12</t>
  </si>
  <si>
    <t>CASTRO &amp; ROCHA LTDA</t>
  </si>
  <si>
    <t>6-049/23</t>
  </si>
  <si>
    <t>MARÍLIA DANTAS DA SILVA –Diretora Presidente – CPF: ***.828.504-**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</si>
</sst>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#,##0.00\ ;\-#,##0.00\ ;&quot; -&quot;#\ ;@\ "/>
    <numFmt numFmtId="165" formatCode="#,##0.00_ ;\-#,##0.00\ "/>
  </numFmts>
  <fonts count="5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8"/>
      <color theme="1"/>
      <name val="Aptos Narrow"/>
      <family val="2"/>
      <scheme val="minor"/>
    </font>
    <font>
      <sz val="8"/>
      <color theme="1"/>
      <name val="Aptos Narrow"/>
      <family val="2"/>
      <scheme val="minor"/>
    </font>
    <font>
      <sz val="6"/>
      <color theme="1"/>
      <name val="Verdana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3" fillId="0" borderId="0" xfId="0" applyFont="1" applyAlignment="1">
      <alignment vertical="center" wrapText="1"/>
    </xf>
    <xf numFmtId="49" fontId="2" fillId="0" borderId="0" xfId="0" applyNumberFormat="1" applyFont="1" applyAlignment="1">
      <alignment horizontal="left" vertical="center" wrapText="1"/>
    </xf>
    <xf numFmtId="164" fontId="3" fillId="0" borderId="0" xfId="1" applyNumberFormat="1" applyFont="1" applyFill="1" applyAlignment="1">
      <alignment horizontal="center" vertical="center" wrapText="1"/>
    </xf>
    <xf numFmtId="164" fontId="3" fillId="0" borderId="0" xfId="1" applyNumberFormat="1" applyFont="1" applyFill="1" applyBorder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4" fontId="3" fillId="0" borderId="0" xfId="0" applyNumberFormat="1" applyFont="1" applyAlignment="1" applyProtection="1">
      <alignment horizontal="center" vertical="center" wrapText="1"/>
      <protection locked="0"/>
    </xf>
    <xf numFmtId="164" fontId="3" fillId="0" borderId="0" xfId="1" applyNumberFormat="1" applyFont="1" applyFill="1" applyAlignment="1">
      <alignment horizontal="left" vertical="center" wrapText="1"/>
    </xf>
    <xf numFmtId="4" fontId="3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4" fontId="2" fillId="0" borderId="0" xfId="0" applyNumberFormat="1" applyFont="1" applyAlignment="1">
      <alignment vertical="center" wrapText="1"/>
    </xf>
    <xf numFmtId="164" fontId="3" fillId="0" borderId="0" xfId="1" applyNumberFormat="1" applyFont="1" applyFill="1" applyAlignment="1">
      <alignment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164" fontId="2" fillId="0" borderId="0" xfId="1" applyNumberFormat="1" applyFont="1" applyFill="1" applyAlignment="1">
      <alignment vertical="center" wrapText="1"/>
    </xf>
    <xf numFmtId="164" fontId="2" fillId="0" borderId="1" xfId="1" applyNumberFormat="1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64" fontId="2" fillId="0" borderId="0" xfId="1" applyNumberFormat="1" applyFont="1" applyFill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164" fontId="3" fillId="0" borderId="1" xfId="1" applyNumberFormat="1" applyFont="1" applyFill="1" applyBorder="1" applyAlignment="1">
      <alignment horizontal="center" vertical="center" wrapText="1"/>
    </xf>
    <xf numFmtId="164" fontId="3" fillId="0" borderId="1" xfId="1" applyNumberFormat="1" applyFont="1" applyFill="1" applyBorder="1" applyAlignment="1">
      <alignment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164" fontId="3" fillId="0" borderId="0" xfId="0" applyNumberFormat="1" applyFont="1" applyAlignment="1">
      <alignment vertical="center" wrapText="1"/>
    </xf>
    <xf numFmtId="165" fontId="3" fillId="0" borderId="0" xfId="0" applyNumberFormat="1" applyFont="1" applyAlignment="1">
      <alignment vertical="center" wrapText="1"/>
    </xf>
    <xf numFmtId="4" fontId="0" fillId="0" borderId="0" xfId="0" applyNumberFormat="1"/>
    <xf numFmtId="4" fontId="4" fillId="0" borderId="0" xfId="0" applyNumberFormat="1" applyFont="1"/>
    <xf numFmtId="4" fontId="3" fillId="0" borderId="1" xfId="0" applyNumberFormat="1" applyFont="1" applyBorder="1" applyAlignment="1">
      <alignment vertical="center" wrapText="1"/>
    </xf>
    <xf numFmtId="0" fontId="0" fillId="0" borderId="0" xfId="0" applyAlignment="1">
      <alignment horizontal="center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left" vertical="center" wrapText="1"/>
    </xf>
    <xf numFmtId="49" fontId="2" fillId="0" borderId="0" xfId="0" applyNumberFormat="1" applyFont="1" applyAlignment="1">
      <alignment horizontal="left" vertical="center" wrapText="1"/>
    </xf>
    <xf numFmtId="49" fontId="3" fillId="0" borderId="0" xfId="0" applyNumberFormat="1" applyFont="1" applyAlignment="1">
      <alignment horizontal="center" vertical="center" wrapText="1"/>
    </xf>
    <xf numFmtId="4" fontId="3" fillId="0" borderId="0" xfId="0" applyNumberFormat="1" applyFont="1" applyAlignment="1">
      <alignment horizontal="center" vertical="center" wrapText="1"/>
    </xf>
    <xf numFmtId="49" fontId="3" fillId="0" borderId="0" xfId="0" applyNumberFormat="1" applyFont="1" applyAlignment="1">
      <alignment vertical="center" wrapText="1"/>
    </xf>
    <xf numFmtId="49" fontId="2" fillId="0" borderId="0" xfId="0" applyNumberFormat="1" applyFont="1" applyAlignment="1">
      <alignment vertical="center" wrapText="1"/>
    </xf>
    <xf numFmtId="49" fontId="2" fillId="0" borderId="0" xfId="0" applyNumberFormat="1" applyFont="1" applyAlignment="1">
      <alignment horizontal="center" vertical="center" wrapText="1"/>
    </xf>
    <xf numFmtId="4" fontId="3" fillId="0" borderId="0" xfId="0" applyNumberFormat="1" applyFont="1" applyAlignment="1" applyProtection="1">
      <alignment horizontal="center" vertical="center" wrapText="1"/>
      <protection locked="0"/>
    </xf>
    <xf numFmtId="49" fontId="3" fillId="0" borderId="0" xfId="0" applyNumberFormat="1" applyFont="1" applyAlignment="1" applyProtection="1">
      <alignment horizontal="center" vertical="center" wrapText="1"/>
      <protection locked="0"/>
    </xf>
    <xf numFmtId="49" fontId="3" fillId="0" borderId="0" xfId="0" applyNumberFormat="1" applyFont="1" applyAlignment="1" applyProtection="1">
      <alignment vertical="center" wrapText="1"/>
      <protection locked="0"/>
    </xf>
  </cellXfs>
  <cellStyles count="2">
    <cellStyle name="Normal" xfId="0" builtinId="0"/>
    <cellStyle name="Separador de milhares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ohde/AppData/Local/Microsoft/Olk/Attachments/ooa-0b56d09e-4548-43a2-9fa0-4ef33913fa44/f1924c2421b9d65690f163e2644fa9b708e29928c142401ea19397f4d4d69c40/Mapa%20Demonstrativo%20de%20Obras%202023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º TRIMESTRE"/>
      <sheetName val="2º TRIMESTRE"/>
      <sheetName val="3º TRIMESTRE"/>
      <sheetName val="4º TRIMESTRE"/>
      <sheetName val="Consolidado"/>
    </sheetNames>
    <sheetDataSet>
      <sheetData sheetId="0">
        <row r="8">
          <cell r="A8" t="str">
            <v>CONCORRÊNCIA / nº 014/2021</v>
          </cell>
          <cell r="B8" t="str">
            <v>CONTRATAÇÃO DE EMPRESA DE ENGENHARIA, ESPECIALIZADA EM ILUMINAÇÃO PÚBLICA, PARA FORNECIMENTO E INSTALAÇÃO DE LUMINÁRIAS COM TECNOLOGIA LED RGB E REDE ELÉTRICA, PARA ILUMINAÇÃO CÊNICA DO PARQUE DONA LINDU, BOA VIAGEM</v>
          </cell>
          <cell r="C8" t="str">
            <v>532561/2020</v>
          </cell>
          <cell r="D8" t="str">
            <v>FINISA</v>
          </cell>
          <cell r="E8">
            <v>50000000</v>
          </cell>
          <cell r="F8">
            <v>0</v>
          </cell>
          <cell r="G8" t="str">
            <v>03.834.750/0001-57</v>
          </cell>
          <cell r="H8" t="str">
            <v>EIP SERVICOS DE ILUMINACAO LTDA</v>
          </cell>
          <cell r="I8" t="str">
            <v>6-001/22</v>
          </cell>
          <cell r="J8">
            <v>44599</v>
          </cell>
          <cell r="K8">
            <v>150</v>
          </cell>
          <cell r="L8">
            <v>2245061.8199999998</v>
          </cell>
          <cell r="N8">
            <v>210</v>
          </cell>
          <cell r="O8">
            <v>444638.12</v>
          </cell>
          <cell r="P8">
            <v>0</v>
          </cell>
          <cell r="Q8" t="str">
            <v>4.4.90.39</v>
          </cell>
          <cell r="R8">
            <v>2689644.17</v>
          </cell>
          <cell r="T8">
            <v>0</v>
          </cell>
          <cell r="U8">
            <v>2689644.17</v>
          </cell>
          <cell r="V8" t="str">
            <v>encerrado</v>
          </cell>
        </row>
        <row r="9">
          <cell r="A9" t="str">
            <v>CONCORRÊNCIA / nº 012/2020</v>
          </cell>
          <cell r="B9" t="str">
            <v>CONTRATACAO DOS SERVICOS DE LIMPEZA E MANUTENCAO DO SISTEMA DE MICRODRENAGEM DE AGUAS PLUVIAIS DO MUNICIPIO DO RECIFE RPA 02 E 03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 t="str">
            <v>07.693.988/0001-60</v>
          </cell>
          <cell r="H9" t="str">
            <v>F R F ENGENHARIA LTDA</v>
          </cell>
          <cell r="I9" t="str">
            <v>6-002/21</v>
          </cell>
          <cell r="J9">
            <v>44204</v>
          </cell>
          <cell r="K9">
            <v>1125</v>
          </cell>
          <cell r="L9">
            <v>17543900.190000001</v>
          </cell>
          <cell r="N9">
            <v>0</v>
          </cell>
          <cell r="O9">
            <v>4739810.3600000003</v>
          </cell>
          <cell r="P9">
            <v>0</v>
          </cell>
          <cell r="Q9" t="str">
            <v>3.3.90.39</v>
          </cell>
          <cell r="R9">
            <v>12487107.76</v>
          </cell>
          <cell r="T9">
            <v>892167.18</v>
          </cell>
          <cell r="U9">
            <v>12003756.119999999</v>
          </cell>
          <cell r="V9" t="str">
            <v>andamento</v>
          </cell>
        </row>
        <row r="10">
          <cell r="A10" t="str">
            <v>CONCORRÊNCIA / nº 012/2021</v>
          </cell>
          <cell r="B10" t="str">
            <v>CONTRATAÇÃO DE EMPRESA DE ENGENHARIA, ESPECIALIZADA EM ILUMINAÇÃO PÚBLICA, PARA SERVIÇOS DE APOIO TÉCNICO PARA CIDADE DO RECIFE.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str">
            <v>03.834.750/0001-57</v>
          </cell>
          <cell r="H10" t="str">
            <v>EIP SERVICOS DE ILUMINACAO LTDA</v>
          </cell>
          <cell r="I10" t="str">
            <v>6-002/22</v>
          </cell>
          <cell r="J10">
            <v>44589</v>
          </cell>
          <cell r="K10">
            <v>760</v>
          </cell>
          <cell r="L10">
            <v>1418802</v>
          </cell>
          <cell r="N10">
            <v>0</v>
          </cell>
          <cell r="O10">
            <v>353919.51</v>
          </cell>
          <cell r="P10">
            <v>0</v>
          </cell>
          <cell r="Q10" t="str">
            <v>3.3.90.39</v>
          </cell>
          <cell r="R10">
            <v>922362.77</v>
          </cell>
          <cell r="T10">
            <v>70681.13</v>
          </cell>
          <cell r="U10">
            <v>840418.77</v>
          </cell>
          <cell r="V10" t="str">
            <v>andamento</v>
          </cell>
        </row>
        <row r="11">
          <cell r="A11" t="str">
            <v>CONCORRÊNCIA / nº 008/2021</v>
          </cell>
          <cell r="B11" t="str">
            <v>CONTRATAÇÃO DE EMPRESA DE ENGENHARIA, ESPECIALIZADA EM ILUMINAÇÃO PÚBLICA, PARA EXECUÇÃO DA MANUTENÇÃO, PREVENTIVA E CORRETIVA, DO SISTEMA DE ILUMINAÇÃO CÊNICA DA CIDADE DO RECIFE</v>
          </cell>
          <cell r="C11" t="str">
            <v>532561/2020</v>
          </cell>
          <cell r="D11" t="str">
            <v>FINISA</v>
          </cell>
          <cell r="E11">
            <v>50000000</v>
          </cell>
          <cell r="F11">
            <v>0</v>
          </cell>
          <cell r="G11" t="str">
            <v>03.834.750/0001-57</v>
          </cell>
          <cell r="H11" t="str">
            <v>EIP SERVICOS DE ILUMINACAO LTDA</v>
          </cell>
          <cell r="I11" t="str">
            <v>6-003/22</v>
          </cell>
          <cell r="J11">
            <v>44589</v>
          </cell>
          <cell r="K11">
            <v>760</v>
          </cell>
          <cell r="L11">
            <v>3730846.67</v>
          </cell>
          <cell r="N11">
            <v>0</v>
          </cell>
          <cell r="O11">
            <v>750887.05</v>
          </cell>
          <cell r="P11">
            <v>0</v>
          </cell>
          <cell r="Q11" t="str">
            <v>4.4.90.39</v>
          </cell>
          <cell r="R11">
            <v>3146397.89</v>
          </cell>
          <cell r="T11">
            <v>155536.38</v>
          </cell>
          <cell r="U11">
            <v>2989206.63</v>
          </cell>
          <cell r="V11" t="str">
            <v>andamento</v>
          </cell>
        </row>
        <row r="12">
          <cell r="A12" t="str">
            <v>CONCORRÊNCIA / nº 014/2020</v>
          </cell>
          <cell r="B12" t="str">
            <v>CONTRATACAO DE EMPRESA DE ENGENHARIA PARA REALIZACAO DE MANUTENCAO PREVENTIVA E CORRETIVA DO SISTEMA DE ILUMINACAO PUBLICA CONVENCIONAL DAS RPAS DO MUNICIPIO DO RECIFE. EM POSTES COM ATE 12 METROS DE ALTURA LOTE I. RPA 1 E 6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str">
            <v>03.834.750/0001-57</v>
          </cell>
          <cell r="H12" t="str">
            <v>EIP SERVICOS DE ILUMINACAO LTDA</v>
          </cell>
          <cell r="I12" t="str">
            <v>6-004/21</v>
          </cell>
          <cell r="J12">
            <v>44270</v>
          </cell>
          <cell r="K12">
            <v>790</v>
          </cell>
          <cell r="L12">
            <v>1459741.65</v>
          </cell>
          <cell r="N12">
            <v>0</v>
          </cell>
          <cell r="O12">
            <v>271913.86</v>
          </cell>
          <cell r="P12">
            <v>224737.52</v>
          </cell>
          <cell r="Q12" t="str">
            <v>3.3.90.39</v>
          </cell>
          <cell r="R12">
            <v>1761463.7599999998</v>
          </cell>
          <cell r="T12">
            <v>56767.02</v>
          </cell>
          <cell r="U12">
            <v>1622607.4</v>
          </cell>
          <cell r="V12" t="str">
            <v>andamento</v>
          </cell>
        </row>
        <row r="13">
          <cell r="A13" t="str">
            <v>CONCORRÊNCIA / nº 014/2020</v>
          </cell>
          <cell r="B13" t="str">
            <v>CONTRATACAO DE EMPRESA DE ENGENHARIA PARA REALIZACAO DE MANUTENCAO PREVENTIVA E CORRETIVA DO SISTEMA DE ILUMINACAO PUBLICA CONVENCIONAL DAS RPAS DO MUNICIPIO DO RECIFE. EM POSTES COM ATE 12 METROS DE ALTURA LOTE II RPA 2 E 3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 t="str">
            <v>03.834.750/0001-57</v>
          </cell>
          <cell r="H13" t="str">
            <v>EIP SERVICOS DE ILUMINACAO LTDA</v>
          </cell>
          <cell r="I13" t="str">
            <v>6-005/21</v>
          </cell>
          <cell r="J13">
            <v>44270</v>
          </cell>
          <cell r="K13">
            <v>790</v>
          </cell>
          <cell r="L13">
            <v>1589764.85</v>
          </cell>
          <cell r="N13">
            <v>0</v>
          </cell>
          <cell r="O13">
            <v>337768.38</v>
          </cell>
          <cell r="P13">
            <v>248860.86</v>
          </cell>
          <cell r="Q13" t="str">
            <v>3.3.90.39</v>
          </cell>
          <cell r="R13">
            <v>1974076.76</v>
          </cell>
          <cell r="T13">
            <v>74149.279999999999</v>
          </cell>
          <cell r="U13">
            <v>1853410.81</v>
          </cell>
          <cell r="V13" t="str">
            <v>andamento</v>
          </cell>
        </row>
        <row r="14">
          <cell r="A14" t="str">
            <v>CONCORRÊNCIA / nº 014/2020</v>
          </cell>
          <cell r="B14" t="str">
            <v>CONTRATAÇÃO DE EMPRESA DE ENGENHARIA PARA REALIZAÇÃO DE MANUTENÇÃO PREVENTIVA E CORRETIVA DO SISTEMA DE ILUMINAÇÃO PUBLICA CONVENCIONAL DAS RPAS DO RECIFE LOTE III RPA  4 E 5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str">
            <v>03.834.750/0001-57</v>
          </cell>
          <cell r="H14" t="str">
            <v>EIP SERVICOS DE ILUMINACAO LTDA</v>
          </cell>
          <cell r="I14" t="str">
            <v>6-006/21</v>
          </cell>
          <cell r="J14">
            <v>44270</v>
          </cell>
          <cell r="K14">
            <v>790</v>
          </cell>
          <cell r="L14">
            <v>1435226.94</v>
          </cell>
          <cell r="N14">
            <v>0</v>
          </cell>
          <cell r="O14">
            <v>341654.57999999996</v>
          </cell>
          <cell r="P14">
            <v>228125.48</v>
          </cell>
          <cell r="Q14" t="str">
            <v>3.3.90.39</v>
          </cell>
          <cell r="R14">
            <v>1745025.62</v>
          </cell>
          <cell r="T14">
            <v>56801.5</v>
          </cell>
          <cell r="U14">
            <v>1618678.01</v>
          </cell>
          <cell r="V14" t="str">
            <v>andamento</v>
          </cell>
        </row>
        <row r="15">
          <cell r="A15" t="str">
            <v>CONCORRÊNCIA / nº 017/2020</v>
          </cell>
          <cell r="B15" t="str">
            <v>CONTRATACAO DOS SERVICOS DE MANUTENCAO E RECUPERACAO DA PAVIMENTACAO NAS VIAS EM PARALELEPIPEDOS CONSTITUINTES DO SISTEMA VIARIO DA CIDADE DO RECIFE. LOTE I - RPA 1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 t="str">
            <v>10.811.370/0001-62</v>
          </cell>
          <cell r="H15" t="str">
            <v>GUERRA CONSTRUCOES LTDA</v>
          </cell>
          <cell r="I15" t="str">
            <v>6-007/21</v>
          </cell>
          <cell r="J15">
            <v>44285</v>
          </cell>
          <cell r="K15">
            <v>760</v>
          </cell>
          <cell r="L15">
            <v>4242714.5</v>
          </cell>
          <cell r="N15">
            <v>0</v>
          </cell>
          <cell r="O15">
            <v>1148494.5</v>
          </cell>
          <cell r="P15">
            <v>640391.6</v>
          </cell>
          <cell r="Q15" t="str">
            <v>3.3.90.39</v>
          </cell>
          <cell r="R15">
            <v>3091306.0599999996</v>
          </cell>
          <cell r="T15">
            <v>153588.49</v>
          </cell>
          <cell r="U15">
            <v>3091306.0599999996</v>
          </cell>
          <cell r="V15" t="str">
            <v>andamento</v>
          </cell>
        </row>
        <row r="16">
          <cell r="A16" t="str">
            <v>Tomada de Preço Licitação: 011/2021</v>
          </cell>
          <cell r="B16" t="str">
            <v>CONTRATAÇÃO DE EMPRESA DE ENGENHARIA, ESPECIALIZADA EM ILUMINAÇÃO PÚBLICA, PARA FORNECIMENTO DE LUMINÁRIAS COM TECNOLOGIA LED RGB E REDE ELÉTRICA, PARA ILUMINAÇÃO CÊNICA DA PASSARELA JOANA BEZERRA.</v>
          </cell>
          <cell r="C16" t="str">
            <v>532561/2020</v>
          </cell>
          <cell r="D16" t="str">
            <v>FINISA</v>
          </cell>
          <cell r="E16">
            <v>50000000</v>
          </cell>
          <cell r="F16">
            <v>0</v>
          </cell>
          <cell r="G16" t="str">
            <v>01.346.561/0001-00</v>
          </cell>
          <cell r="H16" t="str">
            <v>VASCONCELOS E SANTOS LTDA</v>
          </cell>
          <cell r="I16" t="str">
            <v>6-007/22</v>
          </cell>
          <cell r="J16">
            <v>44610</v>
          </cell>
          <cell r="K16">
            <v>150</v>
          </cell>
          <cell r="L16">
            <v>811940.61</v>
          </cell>
          <cell r="N16">
            <v>196</v>
          </cell>
          <cell r="O16">
            <v>0</v>
          </cell>
          <cell r="P16">
            <v>0</v>
          </cell>
          <cell r="Q16" t="str">
            <v>4.4.90.39</v>
          </cell>
          <cell r="R16">
            <v>692721.56</v>
          </cell>
          <cell r="T16">
            <v>0</v>
          </cell>
          <cell r="U16">
            <v>692721.56</v>
          </cell>
          <cell r="V16" t="str">
            <v>encerrado</v>
          </cell>
        </row>
        <row r="17">
          <cell r="A17" t="str">
            <v>CONCORRÊNCIA / nº 017/2020</v>
          </cell>
          <cell r="B17" t="str">
            <v>CONTRATACAO DOS SERVICOS DE MANUTENCAO E RECUPERACAO DA PAVIMENTACAO NAS VIAS EM PARALELEPIPEDOS CONSTITUINTES DO SISTEMA VIARIO DA CIDADE DO RECIFE. LOTES II - RPA 2 E 3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 t="str">
            <v>07.086.088/0001-55</v>
          </cell>
          <cell r="H17" t="str">
            <v>SOLO CONSTRUCOES E TERRAPLANAGEM LTDA</v>
          </cell>
          <cell r="I17" t="str">
            <v>6-008/21</v>
          </cell>
          <cell r="J17">
            <v>44285</v>
          </cell>
          <cell r="K17">
            <v>760</v>
          </cell>
          <cell r="L17">
            <v>5068725.74</v>
          </cell>
          <cell r="N17">
            <v>60</v>
          </cell>
          <cell r="O17">
            <v>954667.4</v>
          </cell>
          <cell r="P17">
            <v>765001.36</v>
          </cell>
          <cell r="Q17" t="str">
            <v>3.3.90.39</v>
          </cell>
          <cell r="R17">
            <v>3306802.08</v>
          </cell>
          <cell r="T17">
            <v>53826.84</v>
          </cell>
          <cell r="U17">
            <v>3220733.48</v>
          </cell>
          <cell r="V17" t="str">
            <v>andamento</v>
          </cell>
        </row>
        <row r="18">
          <cell r="A18" t="str">
            <v>CONCORRÊNCIA / nº 017/2020</v>
          </cell>
          <cell r="B18" t="str">
            <v>CONTRATACAO DOS SERVICOS DE MANUTENCAO E RECUPERACAO DA PAVIMENTACAO NAS VIAS EM PARALELEPIPEDOS CONSTITUINTES DO SISTEMA VIARIO DA CIDADE DO RECIFE. LOTES III - RPA 4 E 5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str">
            <v>05.625.079/0001-60</v>
          </cell>
          <cell r="H18" t="str">
            <v xml:space="preserve">CONSTRUTORA MARDIFI LTDA - EPP </v>
          </cell>
          <cell r="I18" t="str">
            <v>6-009/21</v>
          </cell>
          <cell r="J18">
            <v>44285</v>
          </cell>
          <cell r="K18">
            <v>760</v>
          </cell>
          <cell r="L18">
            <v>7317745.6200000001</v>
          </cell>
          <cell r="N18">
            <v>0</v>
          </cell>
          <cell r="O18">
            <v>132982.70000000001</v>
          </cell>
          <cell r="P18">
            <v>1104379.68</v>
          </cell>
          <cell r="Q18" t="str">
            <v>3.3.90.39</v>
          </cell>
          <cell r="R18">
            <v>3861406.0300000003</v>
          </cell>
          <cell r="T18">
            <v>741783.59</v>
          </cell>
          <cell r="U18">
            <v>3511409.59</v>
          </cell>
          <cell r="V18" t="str">
            <v>andamento</v>
          </cell>
        </row>
        <row r="19">
          <cell r="A19" t="str">
            <v>CONCORRÊNCIA / nº 018/2021</v>
          </cell>
          <cell r="B19" t="str">
            <v>SERVIÇOS DE REQUALIFICAÇÃO DE PAVIMENTAÇÃO, DRENAGEM, ACESSIBILIDADE E SINALIZAÇÃO DA RUA CARLOS PEREIRA FALÇÃO TRECHO ENTRE AS RUAS VISCONDE DE JEQUITINHONHA E TENENTE DOMINGOS DE BRITO LOCALIZADA NO BAIRRO DE BOA VIAGEM NA CIDADE DO RECIFE - PE</v>
          </cell>
          <cell r="C19" t="str">
            <v>899753/2020</v>
          </cell>
          <cell r="D19" t="str">
            <v>Emenda Parlamentar Federal</v>
          </cell>
          <cell r="E19">
            <v>767341</v>
          </cell>
          <cell r="F19">
            <v>8000</v>
          </cell>
          <cell r="G19" t="str">
            <v>10.893.105/0001-70</v>
          </cell>
          <cell r="H19" t="str">
            <v>AGILIS CONSTRUTORA LTDA</v>
          </cell>
          <cell r="I19" t="str">
            <v>6-009/22</v>
          </cell>
          <cell r="J19">
            <v>44630</v>
          </cell>
          <cell r="K19">
            <v>180</v>
          </cell>
          <cell r="L19">
            <v>730428.03</v>
          </cell>
          <cell r="N19">
            <v>210</v>
          </cell>
          <cell r="O19">
            <v>0</v>
          </cell>
          <cell r="P19">
            <v>0</v>
          </cell>
          <cell r="Q19" t="str">
            <v>4.4.90.39</v>
          </cell>
          <cell r="R19">
            <v>723421.05</v>
          </cell>
          <cell r="T19">
            <v>397388.08</v>
          </cell>
          <cell r="U19">
            <v>397388.08</v>
          </cell>
          <cell r="V19" t="str">
            <v>andamento</v>
          </cell>
        </row>
        <row r="20">
          <cell r="A20" t="str">
            <v>CONCORRÊNCIA / nº 017/2020</v>
          </cell>
          <cell r="B20" t="str">
            <v>CONTRATACAO DOS SERVICOS DE MANUTENCAO E RECUPERACAO DA PAVIMENTACAO NAS VIAS EM PARALELEPIPEDOS CONSTITUINTES DO SISTEMA VIARIO DA CIDADE DO RECIFE. LOTES IV. - RPA 06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str">
            <v>10.811.370/0001-62</v>
          </cell>
          <cell r="H20" t="str">
            <v>GUERRA CONSTRUCOES LTDA</v>
          </cell>
          <cell r="I20" t="str">
            <v>6-010/21</v>
          </cell>
          <cell r="J20">
            <v>44285</v>
          </cell>
          <cell r="K20">
            <v>760</v>
          </cell>
          <cell r="L20">
            <v>6534905.3499999996</v>
          </cell>
          <cell r="N20">
            <v>0</v>
          </cell>
          <cell r="O20">
            <v>1356122.72</v>
          </cell>
          <cell r="P20">
            <v>986199.95</v>
          </cell>
          <cell r="Q20" t="str">
            <v>3.3.90.39</v>
          </cell>
          <cell r="R20">
            <v>4231671.62</v>
          </cell>
          <cell r="T20">
            <v>29491.759999999998</v>
          </cell>
          <cell r="U20">
            <v>4136024.7399999998</v>
          </cell>
          <cell r="V20" t="str">
            <v>andamento</v>
          </cell>
        </row>
        <row r="21">
          <cell r="A21" t="str">
            <v>INEX 009/2021</v>
          </cell>
          <cell r="B21" t="str">
            <v>CONTRATACAO DOS SERVICOS DE MANUTENCAO PREVENTIVA DO SISTEMA DE MACRODRENAGEM PELO PROCESSO DE BARRAGEM MOVEL EM DIVERSOS CANAIS DA CIDADE DO RECIFE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 t="str">
            <v>03.366.083/0001-25</v>
          </cell>
          <cell r="H21" t="str">
            <v>HIDROMAX CONSTRUÇOES LTDA</v>
          </cell>
          <cell r="I21" t="str">
            <v>6-012/21</v>
          </cell>
          <cell r="J21">
            <v>44354</v>
          </cell>
          <cell r="K21">
            <v>760</v>
          </cell>
          <cell r="L21">
            <v>1940544.76</v>
          </cell>
          <cell r="N21">
            <v>0</v>
          </cell>
          <cell r="O21">
            <v>465490.75</v>
          </cell>
          <cell r="P21">
            <v>0</v>
          </cell>
          <cell r="Q21" t="str">
            <v>3.3.90.39</v>
          </cell>
          <cell r="R21">
            <v>1950333.88</v>
          </cell>
          <cell r="T21">
            <v>0</v>
          </cell>
          <cell r="U21">
            <v>1950333.88</v>
          </cell>
          <cell r="V21" t="str">
            <v>andamento</v>
          </cell>
        </row>
        <row r="22">
          <cell r="A22" t="str">
            <v>Pregão Eletrônico Licitação: 002/2022</v>
          </cell>
          <cell r="B22" t="str">
            <v>CONTRATAÇÃO DE PESSOA S JURÍDICA S ESPECIALIZADA EM ENGENHARIA SANITÁRIA PARA RECEBIMENTO, TRATAMENTO E DISPOSIÇÃO FINAL DE RESÍDUOS DE CONSTRUÇÃO RCC CLASSE A INERTE COLETADOS PELA EMLURB NO MUNICÍPIO DO RECIFE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str">
            <v>10.877.732/0001-18</v>
          </cell>
          <cell r="H22" t="str">
            <v>CICLO AMBIENTAL LTDA</v>
          </cell>
          <cell r="I22" t="str">
            <v>6-012/22</v>
          </cell>
          <cell r="J22">
            <v>44635</v>
          </cell>
          <cell r="K22">
            <v>1890</v>
          </cell>
          <cell r="L22">
            <v>28992600</v>
          </cell>
          <cell r="N22">
            <v>0</v>
          </cell>
          <cell r="O22">
            <v>0</v>
          </cell>
          <cell r="P22">
            <v>1419600</v>
          </cell>
          <cell r="Q22" t="str">
            <v>3.3.90.39</v>
          </cell>
          <cell r="R22">
            <v>5587253.0800000001</v>
          </cell>
          <cell r="T22">
            <v>864910.21</v>
          </cell>
          <cell r="U22">
            <v>5587253.0800000001</v>
          </cell>
          <cell r="V22" t="str">
            <v>andamento</v>
          </cell>
        </row>
        <row r="23">
          <cell r="A23" t="str">
            <v>TOMADA DE PREÇOS Licitação: 001/2020</v>
          </cell>
          <cell r="B23" t="str">
            <v>PRESTAÇÃO DE SERVIÇO DE MANUTENÇÃO E RECUPERAÇÃO AMBIENTAL DO ATERRO CONTROLADO DA MURIBECA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 t="str">
            <v>07.693.988/0001-60</v>
          </cell>
          <cell r="H23" t="str">
            <v>F R F ENGENHARIA LTDA</v>
          </cell>
          <cell r="I23" t="str">
            <v>6-013/20</v>
          </cell>
          <cell r="J23">
            <v>44007</v>
          </cell>
          <cell r="K23">
            <v>760</v>
          </cell>
          <cell r="L23">
            <v>1152030.3799999999</v>
          </cell>
          <cell r="N23">
            <v>180</v>
          </cell>
          <cell r="O23">
            <v>0</v>
          </cell>
          <cell r="P23">
            <v>0</v>
          </cell>
          <cell r="Q23" t="str">
            <v>3.3.90.39</v>
          </cell>
          <cell r="R23">
            <v>955092.19</v>
          </cell>
          <cell r="T23">
            <v>8480.99</v>
          </cell>
          <cell r="U23">
            <v>955092.19</v>
          </cell>
          <cell r="V23" t="str">
            <v>encerrado</v>
          </cell>
        </row>
        <row r="24">
          <cell r="A24" t="str">
            <v>concorrência /nº 001/2021</v>
          </cell>
          <cell r="B24" t="str">
            <v>CONTRATACAO DE EMPRESA DE ENGENHARIA ESPECIALIZADA. PARA A OPERACAO. AUTOMACAO E MANUTENCAO ELETRICA E MECANICA DAS ESTACOES DE BOMBEAMENTO E COMPORTAS DA CIDADE DO RECIFE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str">
            <v>41.116.138/0001-38</v>
          </cell>
          <cell r="H24" t="str">
            <v>REAL ENERGY LTDA</v>
          </cell>
          <cell r="I24" t="str">
            <v>6-014/21</v>
          </cell>
          <cell r="J24">
            <v>44347</v>
          </cell>
          <cell r="K24">
            <v>790</v>
          </cell>
          <cell r="L24">
            <v>3652773.14</v>
          </cell>
          <cell r="N24">
            <v>0</v>
          </cell>
          <cell r="O24">
            <v>399634.42</v>
          </cell>
          <cell r="P24">
            <v>418590.06</v>
          </cell>
          <cell r="Q24" t="str">
            <v>3.3.90.39</v>
          </cell>
          <cell r="R24">
            <v>2944675.23</v>
          </cell>
          <cell r="T24">
            <v>309477.03999999998</v>
          </cell>
          <cell r="U24">
            <v>2843791.31</v>
          </cell>
          <cell r="V24" t="str">
            <v>andamento</v>
          </cell>
        </row>
        <row r="25">
          <cell r="A25" t="str">
            <v>concorrência /nº 015/2020</v>
          </cell>
          <cell r="B25" t="str">
            <v>SERVIÇOS DE RECUPERAÇÃO DE VIAS URBANAS PAVIMENTAS EM CONCRETO DE CIMENTO PORTLAND EM TRECHOS DE VIAS NAS RPA'S 1 A 6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 t="str">
            <v>00.338.885/0001-33</v>
          </cell>
          <cell r="H25" t="str">
            <v>NOVATEC CONSTRUCOES E EMPREENDIMENTOS LTDA</v>
          </cell>
          <cell r="I25" t="str">
            <v>6-015/21</v>
          </cell>
          <cell r="J25">
            <v>44363</v>
          </cell>
          <cell r="K25">
            <v>790</v>
          </cell>
          <cell r="L25">
            <v>8412130.0600000005</v>
          </cell>
          <cell r="N25">
            <v>0</v>
          </cell>
          <cell r="O25">
            <v>1852910.22</v>
          </cell>
          <cell r="P25">
            <v>1314665.07</v>
          </cell>
          <cell r="Q25" t="str">
            <v>3.3.90.39</v>
          </cell>
          <cell r="R25">
            <v>6550668.3600000003</v>
          </cell>
          <cell r="T25">
            <v>0</v>
          </cell>
          <cell r="U25">
            <v>6504718.9100000001</v>
          </cell>
          <cell r="V25" t="str">
            <v>andamento</v>
          </cell>
        </row>
        <row r="26">
          <cell r="A26" t="str">
            <v>DISP 003/2020</v>
          </cell>
          <cell r="B26" t="str">
            <v>MONITORAMENTO AMBIENTAL DO ATERRO CONTROLADO DA MURIBECA E SERVIÇOS DE CONSULTORIA TECNOLÓGICA PARA TRATAMENTO DE RESÍDUOS SÓLIDOS URBANOS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str">
            <v>11.187.606/0001-02</v>
          </cell>
          <cell r="H26" t="str">
            <v xml:space="preserve">ATEPE ASSOCIACAO TECNOLOGICA DE PERNAMBUCO                  </v>
          </cell>
          <cell r="I26" t="str">
            <v>6-018/20</v>
          </cell>
          <cell r="J26">
            <v>44007</v>
          </cell>
          <cell r="K26">
            <v>365</v>
          </cell>
          <cell r="L26">
            <v>251180</v>
          </cell>
          <cell r="N26">
            <v>730</v>
          </cell>
          <cell r="O26">
            <v>518360</v>
          </cell>
          <cell r="P26">
            <v>0</v>
          </cell>
          <cell r="Q26" t="str">
            <v>3.3.90.39</v>
          </cell>
          <cell r="R26">
            <v>510791.1</v>
          </cell>
          <cell r="T26">
            <v>10780</v>
          </cell>
          <cell r="U26">
            <v>492101.1</v>
          </cell>
          <cell r="V26" t="str">
            <v>andamento</v>
          </cell>
        </row>
        <row r="27">
          <cell r="A27" t="str">
            <v>concorrência /nº 004/2021</v>
          </cell>
          <cell r="B27" t="str">
            <v>RECUPERAÇÃO DE PASSEIOS COM IMPLANTAÇÃO DE ACESSIBILIDADE EM VARIAS VIAS E LOCAIS DO RECIFE</v>
          </cell>
          <cell r="C27" t="str">
            <v>535346/2020</v>
          </cell>
          <cell r="D27" t="str">
            <v>FINISA</v>
          </cell>
          <cell r="E27">
            <v>94508747.5</v>
          </cell>
          <cell r="F27">
            <v>0</v>
          </cell>
          <cell r="G27" t="str">
            <v>03.608.944/0001-34</v>
          </cell>
          <cell r="H27" t="str">
            <v>JEPAC CONSTRUCOES LTDA</v>
          </cell>
          <cell r="I27" t="str">
            <v>6-018/21</v>
          </cell>
          <cell r="J27">
            <v>44361</v>
          </cell>
          <cell r="K27">
            <v>790</v>
          </cell>
          <cell r="L27">
            <v>6770337.1399999997</v>
          </cell>
          <cell r="N27">
            <v>0</v>
          </cell>
          <cell r="O27">
            <v>861991.3</v>
          </cell>
          <cell r="P27">
            <v>952037.17</v>
          </cell>
          <cell r="Q27" t="str">
            <v>3.3.90.39</v>
          </cell>
          <cell r="R27">
            <v>4025973.11</v>
          </cell>
          <cell r="T27">
            <v>0</v>
          </cell>
          <cell r="U27">
            <v>3780073.69</v>
          </cell>
          <cell r="V27" t="str">
            <v>andamento</v>
          </cell>
        </row>
        <row r="28">
          <cell r="A28" t="str">
            <v>CONCORRÊNCIA / nº 021/2021</v>
          </cell>
          <cell r="B28" t="str">
            <v>CONTRATAÇÃO DE EMPRESA DE ENGENHARIA, ESPECIALIZADA EM ILUMINAÇÃO PÚBLICA, PARA FORNECIMENTO E INSTALAÇÃO DE LUMINÁRIAS RGB COM TECNOLOGIA LED E REDE ELÉTRICA, PARA ILUMINAÇÃO CÊNICA, DO TEATRO SANTA IZABEL BAIRRO SANTO ANTÔNIO</v>
          </cell>
          <cell r="C28" t="str">
            <v>532561/2020</v>
          </cell>
          <cell r="D28" t="str">
            <v>FINISA</v>
          </cell>
          <cell r="E28">
            <v>50000000</v>
          </cell>
          <cell r="F28">
            <v>0</v>
          </cell>
          <cell r="G28" t="str">
            <v>01.346.561/0001-00</v>
          </cell>
          <cell r="H28" t="str">
            <v>VASCONCELOS E SANTOS LTDA</v>
          </cell>
          <cell r="I28" t="str">
            <v>6-019/22</v>
          </cell>
          <cell r="J28">
            <v>44651</v>
          </cell>
          <cell r="K28">
            <v>150</v>
          </cell>
          <cell r="L28">
            <v>306496.2</v>
          </cell>
          <cell r="N28">
            <v>388</v>
          </cell>
          <cell r="O28">
            <v>61103.6</v>
          </cell>
          <cell r="P28">
            <v>0</v>
          </cell>
          <cell r="Q28" t="str">
            <v>4.4.90.39</v>
          </cell>
          <cell r="R28">
            <v>0</v>
          </cell>
          <cell r="T28">
            <v>0</v>
          </cell>
          <cell r="U28">
            <v>0</v>
          </cell>
          <cell r="V28" t="str">
            <v>andamento</v>
          </cell>
        </row>
        <row r="29">
          <cell r="A29" t="str">
            <v>PREGÃO ELETRÔNICO Licitação: 006/2022</v>
          </cell>
          <cell r="B29" t="str">
            <v>CONTRATAÇÃO DE EMPRESA ESPECIALIZADA EM SERVIÇOS DE ENGENHARIA AGRONÔMICA COM FINS DE EXECUÇÃO DE SERVIÇOS DE MANUTENÇÃO DO ARBORETO URBANO DAS VIAS PÚBLICAS, PARQUES, PRAÇAS E DEMAIS ÁREAS VERDES DA CIDADE DO RECIFE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 t="str">
            <v>00.449.936/0001-02</v>
          </cell>
          <cell r="H29" t="str">
            <v>ENGEMAIA E CIA LTDA</v>
          </cell>
          <cell r="I29" t="str">
            <v>6-020/22</v>
          </cell>
          <cell r="J29">
            <v>44678</v>
          </cell>
          <cell r="K29">
            <v>1216</v>
          </cell>
          <cell r="L29">
            <v>56414995.560000002</v>
          </cell>
          <cell r="N29">
            <v>0</v>
          </cell>
          <cell r="O29">
            <v>0</v>
          </cell>
          <cell r="P29">
            <v>0</v>
          </cell>
          <cell r="Q29" t="str">
            <v>3.3.90.39</v>
          </cell>
          <cell r="R29">
            <v>13904263.129999999</v>
          </cell>
          <cell r="T29">
            <v>3081410.88</v>
          </cell>
          <cell r="U29">
            <v>13904263.129999999</v>
          </cell>
          <cell r="V29" t="str">
            <v>andamento</v>
          </cell>
        </row>
        <row r="30">
          <cell r="A30" t="str">
            <v>CONCORRÊNCIA Licitação: 002/2021</v>
          </cell>
          <cell r="B30" t="str">
            <v>RECUPERACAO DE ESCADARIAS. MUROS E CORRIMOES LOCALIZADAS NAS DIVERSAS NAS DIVERSAS REGIAO POLITICA ADMINISTRATIVA RPAS DA CIDADE DO RECIFE. DIVIDIDAS EM EM LOTES. LOTE I RPA 2; LOTE II RPA 3 E LOTE III RPA 4.5.6</v>
          </cell>
          <cell r="C30" t="str">
            <v>535346/2020 e 599406/2021</v>
          </cell>
          <cell r="D30" t="str">
            <v>FINISA</v>
          </cell>
          <cell r="E30">
            <v>113346677.56</v>
          </cell>
          <cell r="F30">
            <v>0</v>
          </cell>
          <cell r="G30" t="str">
            <v>11.523.068/0001-71</v>
          </cell>
          <cell r="H30" t="str">
            <v>CONSTRUTORA FAELLA LTDA EPP</v>
          </cell>
          <cell r="I30" t="str">
            <v>6-021/21</v>
          </cell>
          <cell r="J30">
            <v>44365</v>
          </cell>
          <cell r="K30">
            <v>790</v>
          </cell>
          <cell r="L30">
            <v>6226475.1799999997</v>
          </cell>
          <cell r="N30">
            <v>0</v>
          </cell>
          <cell r="O30">
            <v>1556733.25</v>
          </cell>
          <cell r="P30">
            <v>870330.65</v>
          </cell>
          <cell r="Q30" t="str">
            <v>3.3.90.39</v>
          </cell>
          <cell r="R30">
            <v>7040552.04</v>
          </cell>
          <cell r="T30">
            <v>1430571.74</v>
          </cell>
          <cell r="U30">
            <v>6536018.3500000006</v>
          </cell>
          <cell r="V30" t="str">
            <v>andamento</v>
          </cell>
        </row>
        <row r="31">
          <cell r="A31" t="str">
            <v>CONCORRÊNCIA Licitação: 002/2021</v>
          </cell>
          <cell r="B31" t="str">
            <v>RECUPERACAO DE ESCADARIAS. MUROS E CORRIMOES LOCALIZADAS NAS DIVERSAS NAS DIVERSAS REGIAO POLITICA ADMINISTRATIVA RPAS DA CIDADE DO RECIFE. DIVIDIDAS EM EM LOTES. LOTE I RPA 2; LOTE II RPA 3 E LOTE III RPA 4.5.6</v>
          </cell>
          <cell r="C31" t="str">
            <v>535346/2020 e 599406/2021</v>
          </cell>
          <cell r="D31" t="str">
            <v>FINISA</v>
          </cell>
          <cell r="E31">
            <v>113346677.56</v>
          </cell>
          <cell r="F31">
            <v>0</v>
          </cell>
          <cell r="G31" t="str">
            <v>07.693.988/0001-60</v>
          </cell>
          <cell r="H31" t="str">
            <v>F R F ENGENHARIA LTDA</v>
          </cell>
          <cell r="I31" t="str">
            <v>6-022/21</v>
          </cell>
          <cell r="J31">
            <v>44365</v>
          </cell>
          <cell r="K31">
            <v>790</v>
          </cell>
          <cell r="L31">
            <v>9358982.3300000001</v>
          </cell>
          <cell r="N31">
            <v>0</v>
          </cell>
          <cell r="O31">
            <v>2370992.9500000002</v>
          </cell>
          <cell r="P31">
            <v>1308009.78</v>
          </cell>
          <cell r="Q31" t="str">
            <v>3.3.90.39</v>
          </cell>
          <cell r="R31">
            <v>10050424.09</v>
          </cell>
          <cell r="T31">
            <v>1983228.3</v>
          </cell>
          <cell r="U31">
            <v>9245417.9399999995</v>
          </cell>
          <cell r="V31" t="str">
            <v>andamento</v>
          </cell>
        </row>
        <row r="32">
          <cell r="A32" t="str">
            <v>TOMADA DE PREÇOS Licitação: 001/2022</v>
          </cell>
          <cell r="B32" t="str">
            <v>REFORMA DE DOIS PRÉDIOS PÚBLICOS MANTIDOS PELA EMLURB, REFORMA COM AMPLIAÇÃO PARA IMPLANTAÇÃO DO SETOR DE FISCALIZAÇÃO STFI , 2 E 3, LOCALIZADA NA RUA JOUBERTE CARVALHO, CASA AMARELA E DIVISÃO DE FISCALIZAÇÃO DVFI 4 E 5 LOCALIZADO NO PARQUE DO CAIARA, AV. MAURÍCIO DE NASSAU, 68 IPUTINGA, RECIFE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 t="str">
            <v>17.772.572/0001-91</v>
          </cell>
          <cell r="H32" t="str">
            <v>CARVALHO PONTES ENGENHARIA LTDA - EPP</v>
          </cell>
          <cell r="I32" t="str">
            <v>6-022/22</v>
          </cell>
          <cell r="J32">
            <v>44694</v>
          </cell>
          <cell r="K32">
            <v>240</v>
          </cell>
          <cell r="L32">
            <v>570270.67000000004</v>
          </cell>
          <cell r="N32">
            <v>0</v>
          </cell>
          <cell r="O32">
            <v>0</v>
          </cell>
          <cell r="P32">
            <v>0</v>
          </cell>
          <cell r="Q32" t="str">
            <v>4.4.90.39</v>
          </cell>
          <cell r="R32">
            <v>0</v>
          </cell>
          <cell r="T32">
            <v>0</v>
          </cell>
          <cell r="U32">
            <v>0</v>
          </cell>
        </row>
        <row r="33">
          <cell r="A33" t="str">
            <v>CONCORRÊNCIA Licitação: 002/2021</v>
          </cell>
          <cell r="B33" t="str">
            <v>RECUPERACAO DE ESCADARIAS. MUROS E CORRIMOES LOCALIZADAS NAS DIVERSAS NAS DIVERSAS REGIAO POLITICA ADMINISTRATIVA RPAS DA CIDADE DO RECIFE. DIVIDIDAS EM EM LOTES. LOTE I RPA 2; LOTE II RPA 3 E LOTE III RPA 4.5.6</v>
          </cell>
          <cell r="C33" t="str">
            <v>535346/2020 e 599406/2021</v>
          </cell>
          <cell r="D33" t="str">
            <v>FINISA</v>
          </cell>
          <cell r="E33">
            <v>113346677.56</v>
          </cell>
          <cell r="F33">
            <v>0</v>
          </cell>
          <cell r="G33" t="str">
            <v>10.811.370/0001-62</v>
          </cell>
          <cell r="H33" t="str">
            <v>GUERRA CONSTRUCOES LTDA</v>
          </cell>
          <cell r="I33" t="str">
            <v>6-023/21</v>
          </cell>
          <cell r="J33">
            <v>44365</v>
          </cell>
          <cell r="K33">
            <v>790</v>
          </cell>
          <cell r="L33">
            <v>7403917.6600000001</v>
          </cell>
          <cell r="N33">
            <v>0</v>
          </cell>
          <cell r="O33">
            <v>1928721.8399999999</v>
          </cell>
          <cell r="P33">
            <v>1034795.64</v>
          </cell>
          <cell r="Q33" t="str">
            <v>3.3.90.39</v>
          </cell>
          <cell r="R33">
            <v>9420612.7400000002</v>
          </cell>
          <cell r="T33">
            <v>1369712.84</v>
          </cell>
          <cell r="U33">
            <v>8631066.5700000003</v>
          </cell>
          <cell r="V33" t="str">
            <v>andamento</v>
          </cell>
        </row>
        <row r="34">
          <cell r="A34" t="str">
            <v>TOMADA DE PREÇOS Licitação: 003/2022</v>
          </cell>
          <cell r="B34" t="str">
            <v>CONTRATAÇÃO DE EMPRESA ESPECIALIZADA NO RAMO DE ENGENHARIA PARA EXECUÇÃO DOS SERVIÇOS DE REQUALIFICAÇÃO DA PRAÇA ABELARDO BALTAR, PRAÇA BRASILIA FORMOSA E PRAÇA SÃO PEDRO LOCALIZADAS NA CIDADE DO RECIFE PE, DE ACORDO COM AS NORMAS PREVISTAS NESTE PROJETO BÁSICO E NA PLANILHA ORÇAMENTÁRIA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 t="str">
            <v>10.893.105/0001-70</v>
          </cell>
          <cell r="H34" t="str">
            <v>AGILIS CONSTRUTORA LTDA</v>
          </cell>
          <cell r="I34" t="str">
            <v>6-023/22</v>
          </cell>
          <cell r="J34">
            <v>44713</v>
          </cell>
          <cell r="K34">
            <v>180</v>
          </cell>
          <cell r="L34">
            <v>157510.07999999999</v>
          </cell>
          <cell r="N34">
            <v>0</v>
          </cell>
          <cell r="O34">
            <v>0</v>
          </cell>
          <cell r="P34">
            <v>-510.9</v>
          </cell>
          <cell r="Q34" t="str">
            <v>4.4.90.39</v>
          </cell>
          <cell r="R34">
            <v>0</v>
          </cell>
          <cell r="T34">
            <v>0</v>
          </cell>
          <cell r="U34">
            <v>0</v>
          </cell>
          <cell r="V34" t="str">
            <v>andamento</v>
          </cell>
        </row>
        <row r="35">
          <cell r="A35" t="str">
            <v>CONCORRÊNCIA Licitação:    004/2019</v>
          </cell>
          <cell r="B35" t="str">
            <v>SERVIÇOS COMPLEMENTARES DE LIMPEZA URBANA EM ÁREAS PLANAS E DE TALUDE E SERVIÇOS DE MANUTENÇÃO CONTÍNUA PREVENTIVA E CORRETIVA DA ARBORIZAÇÃO URBANA EM MORROS, INCLUINDO A LOCAÇÃO DE VEÍCULOS E EQUIPAMENTOS.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 t="str">
            <v>40.884.405/0001-54</v>
          </cell>
          <cell r="H35" t="str">
            <v>LOQUIPE LOCACAO DE EQUIPAMENTOS E MAO DE OBRA LTDA</v>
          </cell>
          <cell r="I35" t="str">
            <v>6-024/19</v>
          </cell>
          <cell r="J35">
            <v>43633</v>
          </cell>
          <cell r="K35">
            <v>395</v>
          </cell>
          <cell r="L35">
            <v>12390281.279999999</v>
          </cell>
          <cell r="N35">
            <v>1095</v>
          </cell>
          <cell r="O35">
            <v>42968949.840000004</v>
          </cell>
          <cell r="P35">
            <v>2473711.6800000002</v>
          </cell>
          <cell r="Q35" t="str">
            <v>3.3.90.39</v>
          </cell>
          <cell r="R35">
            <v>33497438.509999998</v>
          </cell>
          <cell r="T35">
            <v>2743002.53</v>
          </cell>
          <cell r="U35">
            <v>33497438.510000002</v>
          </cell>
          <cell r="V35" t="str">
            <v>andamento</v>
          </cell>
        </row>
        <row r="36">
          <cell r="A36" t="str">
            <v>PREGÃO ELETRÔNICO Licitação: 010/2022</v>
          </cell>
          <cell r="B36" t="str">
            <v>REQUALIFICAÇÃO DO PARQUE APIPUCOS E DO SEU ENTORNO</v>
          </cell>
          <cell r="E36">
            <v>0</v>
          </cell>
          <cell r="F36">
            <v>0</v>
          </cell>
          <cell r="G36" t="str">
            <v>41.116.138/0001-38</v>
          </cell>
          <cell r="H36" t="str">
            <v>REAL ENERGY LTDA</v>
          </cell>
          <cell r="I36" t="str">
            <v>6-024/22</v>
          </cell>
          <cell r="J36">
            <v>44697</v>
          </cell>
          <cell r="K36">
            <v>210</v>
          </cell>
          <cell r="L36">
            <v>1951428.17</v>
          </cell>
          <cell r="N36">
            <v>90</v>
          </cell>
          <cell r="O36">
            <v>161502.12</v>
          </cell>
          <cell r="P36">
            <v>0</v>
          </cell>
          <cell r="Q36" t="str">
            <v>4.4.90.39</v>
          </cell>
          <cell r="R36">
            <v>527865.02</v>
          </cell>
          <cell r="T36">
            <v>360327.3</v>
          </cell>
          <cell r="U36">
            <v>527865.02</v>
          </cell>
          <cell r="V36" t="str">
            <v>andamento</v>
          </cell>
        </row>
        <row r="37">
          <cell r="A37" t="str">
            <v>CONCORRÊNCIA Licitação: 003/2022</v>
          </cell>
          <cell r="B37" t="str">
            <v>CONTRATAÇÃO DE EMPRESA DE ENGENHARIA, ESPECIALIZADA EM ILUMINAÇÃO PÚBLICA, PARA FORNECIMENTO E INSTAÇÃO DE LUMINARIAS COM TECNOLOGIA LED, COMPATÍVEIS COM SISTEMA DE TELEGESTÃO E REDE ELÉTRICA, PARA ILUMINAÇÃO PÚBLICA DA BR 101, NO TRECHO COMPREENDIDO ENTRE OS KM 69 E KM 78 E OS KM 62 E KM 58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 t="str">
            <v>01.346.561/0001-00</v>
          </cell>
          <cell r="H37" t="str">
            <v>VASCONCELOS E SANTOS LTDA</v>
          </cell>
          <cell r="I37" t="str">
            <v>6-025/22</v>
          </cell>
          <cell r="J37">
            <v>44691</v>
          </cell>
          <cell r="K37">
            <v>395</v>
          </cell>
          <cell r="L37">
            <v>4795564.07</v>
          </cell>
          <cell r="N37">
            <v>0</v>
          </cell>
          <cell r="O37">
            <v>0</v>
          </cell>
          <cell r="P37">
            <v>0</v>
          </cell>
          <cell r="Q37" t="str">
            <v>4.4.90.39</v>
          </cell>
          <cell r="R37">
            <v>542591.77</v>
          </cell>
          <cell r="T37">
            <v>54057.94</v>
          </cell>
          <cell r="U37">
            <v>54057.94</v>
          </cell>
          <cell r="V37" t="str">
            <v>andamento</v>
          </cell>
        </row>
        <row r="38">
          <cell r="A38" t="str">
            <v>CONCORRÊNCIA Licitação: 007/2021</v>
          </cell>
          <cell r="B38" t="str">
            <v>CONTRATAÇÃO DE EMPRESA ESPECIALIZADA EM ENGENHARIA PARA ELABORAÇÃO E READEQUAÇÃO DE PROJETOS EXECUTIVOS DE INFRAESTRUTURADA URBANA, PARA AS VIAS DA CIDADE DO RECIFE</v>
          </cell>
          <cell r="C38" t="str">
            <v>40.00017-6</v>
          </cell>
          <cell r="D38" t="str">
            <v>BANCO DO BRASIL</v>
          </cell>
          <cell r="E38">
            <v>0</v>
          </cell>
          <cell r="F38">
            <v>0</v>
          </cell>
          <cell r="G38" t="str">
            <v>70.073.275/0001-30</v>
          </cell>
          <cell r="H38" t="str">
            <v>GEOSISTEMAS ENGENHARIA E PLANEJAMENTO LTDA</v>
          </cell>
          <cell r="I38" t="str">
            <v>6-027/22</v>
          </cell>
          <cell r="J38">
            <v>44732</v>
          </cell>
          <cell r="K38">
            <v>210</v>
          </cell>
          <cell r="L38">
            <v>664493.28</v>
          </cell>
          <cell r="N38">
            <v>120</v>
          </cell>
          <cell r="O38">
            <v>0</v>
          </cell>
          <cell r="P38">
            <v>0</v>
          </cell>
          <cell r="Q38" t="str">
            <v>4.4.90.39</v>
          </cell>
          <cell r="R38">
            <v>137128.44</v>
          </cell>
          <cell r="T38">
            <v>37608.36</v>
          </cell>
          <cell r="U38">
            <v>137128.44</v>
          </cell>
          <cell r="V38" t="str">
            <v>andamento</v>
          </cell>
        </row>
        <row r="39">
          <cell r="A39" t="str">
            <v>CONCORRÊNCIA Licitação: 016/2020</v>
          </cell>
          <cell r="B39" t="str">
            <v>EXECUÇÃO DE SERVIÇOS DE REQUALIFICAÇÃO MANUTENÇÃO PREVENTIVA E CORRETIVA DE PRAÇAS, PARQUES E ÁREAS VERDES CANTEIROS DE AVENIDAS E REFÚGIOS DA CIDADE DO RECIFE RPAS 1,2 E 3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 t="str">
            <v>05.625.079/0001-60</v>
          </cell>
          <cell r="H39" t="str">
            <v xml:space="preserve">CONSTRUTORA MARDIFI LTDA - EPP </v>
          </cell>
          <cell r="I39" t="str">
            <v>6-028/21</v>
          </cell>
          <cell r="J39">
            <v>44391</v>
          </cell>
          <cell r="K39">
            <v>790</v>
          </cell>
          <cell r="L39">
            <v>5538433.2699999996</v>
          </cell>
          <cell r="N39">
            <v>0</v>
          </cell>
          <cell r="O39">
            <v>1123031.08</v>
          </cell>
          <cell r="P39">
            <v>969699.25</v>
          </cell>
          <cell r="Q39" t="str">
            <v>3.3.90.39</v>
          </cell>
          <cell r="R39">
            <v>4659420.1499999994</v>
          </cell>
          <cell r="T39">
            <v>1148436.3400000001</v>
          </cell>
          <cell r="U39">
            <v>4659420.1500000004</v>
          </cell>
          <cell r="V39" t="str">
            <v>andamento</v>
          </cell>
        </row>
        <row r="40">
          <cell r="A40" t="str">
            <v>CONCORRÊNCIA Licitação: 007/2021</v>
          </cell>
          <cell r="B40" t="str">
            <v>CONTRATAÇÃO DE EMPRESA ESPECIALIZADA EM ENGENHARIA PARA ELABORAÇÃO E READEQUAÇÃO DE PROJETOS EXECUTIVOS DE INFRAESTRUTURADA URBANA, PARA AS VIAS DA CIDADE DO RECIFE</v>
          </cell>
          <cell r="C40" t="str">
            <v>40.00017-6</v>
          </cell>
          <cell r="D40" t="str">
            <v>BANCO DO BRASIL</v>
          </cell>
          <cell r="E40">
            <v>0</v>
          </cell>
          <cell r="F40">
            <v>0</v>
          </cell>
          <cell r="G40" t="str">
            <v>17.883.268/0001-11</v>
          </cell>
          <cell r="H40" t="str">
            <v>WRC SOLUCOES - PROJETOS, GEODESIA E CONSTRUÇÃO LTDA</v>
          </cell>
          <cell r="I40" t="str">
            <v>6-028/22</v>
          </cell>
          <cell r="J40">
            <v>44714</v>
          </cell>
          <cell r="K40">
            <v>360</v>
          </cell>
          <cell r="L40">
            <v>1688150.08</v>
          </cell>
          <cell r="N40">
            <v>0</v>
          </cell>
          <cell r="O40">
            <v>0</v>
          </cell>
          <cell r="P40">
            <v>0</v>
          </cell>
          <cell r="Q40" t="str">
            <v>4.4.90.39</v>
          </cell>
          <cell r="R40">
            <v>271826.04000000004</v>
          </cell>
          <cell r="T40">
            <v>117417.22</v>
          </cell>
          <cell r="U40">
            <v>271826.04000000004</v>
          </cell>
          <cell r="V40" t="str">
            <v>andamento</v>
          </cell>
        </row>
        <row r="41">
          <cell r="A41" t="str">
            <v>CONCORRÊNCIA Licitação: 002/2020</v>
          </cell>
          <cell r="B41" t="str">
            <v>CONTRATAÇÃO DOS SERVIÇOS DE MANUTENÇÃO CORRETIVA DO SISTEMA VIÁRIO DO RECIFE RPA 01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 t="str">
            <v>23.742.620/0001-00</v>
          </cell>
          <cell r="H41" t="str">
            <v>INSTTALE ENGENHARIA LTDA</v>
          </cell>
          <cell r="I41" t="str">
            <v>6-029/20</v>
          </cell>
          <cell r="J41">
            <v>44105</v>
          </cell>
          <cell r="K41">
            <v>760</v>
          </cell>
          <cell r="L41">
            <v>6329253.0300000003</v>
          </cell>
          <cell r="N41">
            <v>62</v>
          </cell>
          <cell r="O41">
            <v>969313.04</v>
          </cell>
          <cell r="P41">
            <v>707143.97</v>
          </cell>
          <cell r="Q41" t="str">
            <v>3.3.90.39</v>
          </cell>
          <cell r="R41">
            <v>5329104.37</v>
          </cell>
          <cell r="T41">
            <v>158838.35</v>
          </cell>
          <cell r="U41">
            <v>5329104.3699999992</v>
          </cell>
          <cell r="V41" t="str">
            <v>encerrado</v>
          </cell>
        </row>
        <row r="42">
          <cell r="A42" t="str">
            <v>CONCORRÊNCIA Licitação: 016/2020</v>
          </cell>
          <cell r="B42" t="str">
            <v>EXECUÇÃO DE SERVIÇOS DE REQUALIFICAÇÃO MANUTENÇÃO PREVENTIVA E CORRETIVA DE PRAÇAS, PARQUES E ÁREAS VERDES CANTEIROS DE AVENIDAS E REFÚGIOS DA CIDADE DO RECIFE RPAS 4,5 E 6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str">
            <v>10.698.641/0001-15</v>
          </cell>
          <cell r="H42" t="str">
            <v>CONSTRUTORA MASTER EIRELI ME</v>
          </cell>
          <cell r="I42" t="str">
            <v>6-029/21</v>
          </cell>
          <cell r="J42">
            <v>44391</v>
          </cell>
          <cell r="K42">
            <v>790</v>
          </cell>
          <cell r="L42">
            <v>6400029.5199999996</v>
          </cell>
          <cell r="N42">
            <v>0</v>
          </cell>
          <cell r="O42">
            <v>1599212.75</v>
          </cell>
          <cell r="P42">
            <v>1120494.03</v>
          </cell>
          <cell r="Q42" t="str">
            <v>3.3.90.39</v>
          </cell>
          <cell r="R42">
            <v>5142075.2699999996</v>
          </cell>
          <cell r="T42">
            <v>551928.46</v>
          </cell>
          <cell r="U42">
            <v>5057073.18</v>
          </cell>
          <cell r="V42" t="str">
            <v>andamento</v>
          </cell>
        </row>
        <row r="43">
          <cell r="A43" t="str">
            <v>CONCORRÊNCIA Licitação: 002/2020</v>
          </cell>
          <cell r="B43" t="str">
            <v>CONTRATAÇÃO DOS SERVIÇOS DE MANUTENÇÃO CORRETIVA DO SISTEMA VIÁRIO DO RECIFE RPA 02 E 03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 t="str">
            <v>00.999.591/0001-52</v>
          </cell>
          <cell r="H43" t="str">
            <v xml:space="preserve">AGC CONSTRUTORA E EMPREENDIMENTOS LTDA                      </v>
          </cell>
          <cell r="I43" t="str">
            <v>6-030/20</v>
          </cell>
          <cell r="J43">
            <v>44130</v>
          </cell>
          <cell r="K43">
            <v>760</v>
          </cell>
          <cell r="L43">
            <v>9905518.1799999997</v>
          </cell>
          <cell r="N43">
            <v>121</v>
          </cell>
          <cell r="O43">
            <v>288906.17</v>
          </cell>
          <cell r="P43">
            <v>4339397.41</v>
          </cell>
          <cell r="Q43" t="str">
            <v>3.3.90.39</v>
          </cell>
          <cell r="R43">
            <v>9807579.25</v>
          </cell>
          <cell r="T43">
            <v>787666.71</v>
          </cell>
          <cell r="U43">
            <v>9807579.25</v>
          </cell>
          <cell r="V43" t="str">
            <v>encerrado</v>
          </cell>
        </row>
        <row r="44">
          <cell r="A44" t="str">
            <v>CONCORRÊNCIA Licitação: 002/2020</v>
          </cell>
          <cell r="B44" t="str">
            <v>CONTRATAÇÃO DOS SERVIÇOS DE MANUTENÇÃO CORRETIVA DO SISTEMA VIÁRIO DO RECIFE RPA 06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str">
            <v>40.882.060/0001-08</v>
          </cell>
          <cell r="H44" t="str">
            <v>LIDERMAC CONSTRUCOES E EQUIPAMENTOS LTDA</v>
          </cell>
          <cell r="I44" t="str">
            <v>6-032/20</v>
          </cell>
          <cell r="J44">
            <v>44130</v>
          </cell>
          <cell r="K44">
            <v>760</v>
          </cell>
          <cell r="L44">
            <v>10773413.109999999</v>
          </cell>
          <cell r="N44">
            <v>62</v>
          </cell>
          <cell r="O44">
            <v>0</v>
          </cell>
          <cell r="P44">
            <v>1474460.52</v>
          </cell>
          <cell r="Q44" t="str">
            <v>3.3.90.39</v>
          </cell>
          <cell r="R44">
            <v>8125546.7999999989</v>
          </cell>
          <cell r="T44">
            <v>406203.14</v>
          </cell>
          <cell r="U44">
            <v>8125546.7999999998</v>
          </cell>
          <cell r="V44" t="str">
            <v>encerrado</v>
          </cell>
        </row>
        <row r="45">
          <cell r="A45" t="str">
            <v>PREGÃO ELETRÔNICO Licitação: 017/2022</v>
          </cell>
          <cell r="B45" t="str">
            <v>MANUTENÇÃO E /OU INSTALAÇÃO DE EQUIPAMENTOS E BRINQUEDOS EM MADEIRA, INSTALADOS EM PARQUES E PRAÇAS DA CIDADE DO RECIFE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 t="str">
            <v>06.157.352/0001-31</v>
          </cell>
          <cell r="H45" t="str">
            <v>ROBERTO &amp; JAIR COMÉRCIO E SERVIÇOS LTDA-ME</v>
          </cell>
          <cell r="I45" t="str">
            <v>6-032/22</v>
          </cell>
          <cell r="J45">
            <v>44718</v>
          </cell>
          <cell r="K45">
            <v>790</v>
          </cell>
          <cell r="L45">
            <v>1278000</v>
          </cell>
          <cell r="N45">
            <v>0</v>
          </cell>
          <cell r="P45">
            <v>0</v>
          </cell>
          <cell r="Q45" t="str">
            <v>3.3.90.39</v>
          </cell>
          <cell r="R45">
            <v>621368.16999999993</v>
          </cell>
          <cell r="T45">
            <v>121414.82</v>
          </cell>
          <cell r="U45">
            <v>621368.16999999993</v>
          </cell>
          <cell r="V45" t="str">
            <v>andamento</v>
          </cell>
        </row>
        <row r="46">
          <cell r="A46" t="str">
            <v>CONCORRÊNCIA Licitação: 007/2021</v>
          </cell>
          <cell r="B46" t="str">
            <v>CONTRATAÇÃO DE EMPESA ESPECIALIZADA DE ENGENHARIA PARA ELABORAÇÃO E READEQUAÇÃO DE PROJETOS EXECUTIVOS DE INFRAESTRUTURA URBANA, CONTEMPLANDO AS DISCIPLINAS DE GEOMETRIA, PAVIMENTAÇÃO, TERRAPLENAGEM, DRENAGEM, URBANISMO E SEUS ORÇAMENTOS DE CUSTOS PARA VIAS URBANAS DA CIDADE DO RECIFE</v>
          </cell>
          <cell r="C46" t="str">
            <v>40.00017-6</v>
          </cell>
          <cell r="D46" t="str">
            <v>BANCO DO BRASIL</v>
          </cell>
          <cell r="E46">
            <v>0</v>
          </cell>
          <cell r="F46">
            <v>0</v>
          </cell>
          <cell r="G46" t="str">
            <v>70.073.275/0001-30</v>
          </cell>
          <cell r="H46" t="str">
            <v>GEOSISTEMAS ENGENHARIA E PLANEJAMENTO LTDA</v>
          </cell>
          <cell r="I46" t="str">
            <v>6-033/22</v>
          </cell>
          <cell r="J46">
            <v>44732</v>
          </cell>
          <cell r="K46">
            <v>360</v>
          </cell>
          <cell r="L46">
            <v>1507466.22</v>
          </cell>
          <cell r="N46">
            <v>0</v>
          </cell>
          <cell r="O46">
            <v>0</v>
          </cell>
          <cell r="P46">
            <v>0</v>
          </cell>
          <cell r="Q46" t="str">
            <v>4.4.90.39</v>
          </cell>
          <cell r="R46">
            <v>254461.75</v>
          </cell>
          <cell r="T46">
            <v>145344.57999999999</v>
          </cell>
          <cell r="U46">
            <v>254461.75</v>
          </cell>
          <cell r="V46" t="str">
            <v>andamento</v>
          </cell>
        </row>
        <row r="47">
          <cell r="A47" t="str">
            <v>CONCORRÊNCIA Licitação: 007/2021</v>
          </cell>
          <cell r="B47" t="str">
            <v>CONTRATAÇÃO DE EMPESA ESPECIALIZADA DE ENGENHARIA PARA ELABORAÇÃO E READEQUAÇÃO DE PROJETOS EXECUTIVOS DE INFRAESTRUTURA URBANA, CONTEMPLANDO AS DISCIPLINAS DE GEOMETRIA, PAVIMENTAÇÃO, TERRAPLENAGEM, DRENAGEM, URBANISMO E SEUS ORÇAMENTOS DE CUSTOS PARA VIAS URBANAS DA CIDADE DO RECIFE</v>
          </cell>
          <cell r="C47" t="str">
            <v>40.00017-6</v>
          </cell>
          <cell r="D47" t="str">
            <v>BANCO DO BRASIL</v>
          </cell>
          <cell r="E47">
            <v>0</v>
          </cell>
          <cell r="F47">
            <v>0</v>
          </cell>
          <cell r="G47" t="str">
            <v>70.073.275/0001-30</v>
          </cell>
          <cell r="H47" t="str">
            <v>GEOSISTEMAS ENGENHARIA E PLANEJAMENTO LTDA</v>
          </cell>
          <cell r="I47" t="str">
            <v>6-034/22</v>
          </cell>
          <cell r="J47">
            <v>44732</v>
          </cell>
          <cell r="K47">
            <v>425</v>
          </cell>
          <cell r="L47">
            <v>2244006.2200000002</v>
          </cell>
          <cell r="N47">
            <v>0</v>
          </cell>
          <cell r="O47">
            <v>0</v>
          </cell>
          <cell r="P47">
            <v>0</v>
          </cell>
          <cell r="Q47" t="str">
            <v>4.4.90.39</v>
          </cell>
          <cell r="R47">
            <v>316083.12</v>
          </cell>
          <cell r="T47">
            <v>217768.18</v>
          </cell>
          <cell r="U47">
            <v>316083.12</v>
          </cell>
          <cell r="V47" t="str">
            <v>andamento</v>
          </cell>
        </row>
        <row r="48">
          <cell r="A48" t="str">
            <v>CONCORRÊNCIA Licitação: 006/2021</v>
          </cell>
          <cell r="B48" t="str">
            <v>CONTRATAÇÃO DE EMPRESA DE ENGENHARIA, PARA EXECUÇÃO DOS SERVIÇOS DE IMPLANTAÇÃO DA REDE DE DRENAGEM, PAVIMENTAÇÃO, ACESSIBILIDADE E SINALIZAÇÃO DAS RUAS DESEMBARGADOR VIRGÍLIO DE SA PEREIRA E MATHUZALEM WANDERLEY, LOCALIZADAS NO BAIRRO DO CORDEIRO. LOTE 01</v>
          </cell>
          <cell r="C48" t="str">
            <v xml:space="preserve"> 892570/2019</v>
          </cell>
          <cell r="D48" t="str">
            <v>Emenda Parlamentar Federal</v>
          </cell>
          <cell r="E48">
            <v>3820000</v>
          </cell>
          <cell r="F48">
            <v>8000</v>
          </cell>
          <cell r="G48" t="str">
            <v>02.724.778/0001-79</v>
          </cell>
          <cell r="H48" t="str">
            <v>UNITERRA - UNIAO TERRAPLENAGEM E CONSTRUCOES LTDA</v>
          </cell>
          <cell r="I48" t="str">
            <v>6-035/21</v>
          </cell>
          <cell r="J48">
            <v>44456</v>
          </cell>
          <cell r="K48">
            <v>210</v>
          </cell>
          <cell r="L48">
            <v>2111167.85</v>
          </cell>
          <cell r="N48">
            <v>216</v>
          </cell>
          <cell r="O48">
            <v>0</v>
          </cell>
          <cell r="P48">
            <v>-902.12</v>
          </cell>
          <cell r="Q48" t="str">
            <v>4.4.90.39</v>
          </cell>
          <cell r="R48">
            <v>1200020.55</v>
          </cell>
          <cell r="T48">
            <v>0</v>
          </cell>
          <cell r="U48">
            <v>1199276.75</v>
          </cell>
          <cell r="V48" t="str">
            <v>andamento</v>
          </cell>
        </row>
        <row r="49">
          <cell r="A49" t="str">
            <v>CONCORRÊNCIA Licitação: 001/2022</v>
          </cell>
          <cell r="B49" t="str">
            <v>SERVIÇO DE MANUTENÇÃO PREVENTIVA DO SISTEMA MACRODRENAGEM EM TODAS AS RPAS DA CIDADE DO RECIFE, LOTE I - RPA 01 E RPA 06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 t="str">
            <v>01.514.128/0001-36</v>
          </cell>
          <cell r="H49" t="str">
            <v>SCAVE SERVICOS DE ENGENHARIA E LOCACAO LTDA</v>
          </cell>
          <cell r="I49" t="str">
            <v>6-036/22</v>
          </cell>
          <cell r="J49">
            <v>44719</v>
          </cell>
          <cell r="K49">
            <v>1155</v>
          </cell>
          <cell r="L49">
            <v>7836613.5899999999</v>
          </cell>
          <cell r="N49">
            <v>0</v>
          </cell>
          <cell r="O49">
            <v>0</v>
          </cell>
          <cell r="P49">
            <v>0</v>
          </cell>
          <cell r="Q49" t="str">
            <v>3.3.90.39</v>
          </cell>
          <cell r="R49">
            <v>4238146.6800000006</v>
          </cell>
          <cell r="T49">
            <v>357994.51</v>
          </cell>
          <cell r="U49">
            <v>4238146.68</v>
          </cell>
          <cell r="V49" t="str">
            <v>andamento</v>
          </cell>
        </row>
        <row r="50">
          <cell r="A50" t="str">
            <v>CONCORRÊNCIA Licitação: 001/2022</v>
          </cell>
          <cell r="B50" t="str">
            <v>SERVIÇO DE MANUTENÇÃO PREVENTIVA DO SISTEMA MACRODRENAGEM EM TODAS AS RPAS DA CIDADE DO RECIFE, LOTE II - RPA 02 E RPA 03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str">
            <v>01.514.128/0001-36</v>
          </cell>
          <cell r="H50" t="str">
            <v>SCAVE SERVICOS DE ENGENHARIA E LOCACAO LTDA</v>
          </cell>
          <cell r="I50" t="str">
            <v>6-037/22</v>
          </cell>
          <cell r="J50">
            <v>44719</v>
          </cell>
          <cell r="K50">
            <v>1155</v>
          </cell>
          <cell r="L50">
            <v>8921904</v>
          </cell>
          <cell r="N50">
            <v>0</v>
          </cell>
          <cell r="O50">
            <v>0</v>
          </cell>
          <cell r="P50">
            <v>0</v>
          </cell>
          <cell r="Q50" t="str">
            <v>3.3.90.39</v>
          </cell>
          <cell r="R50">
            <v>3985773.66</v>
          </cell>
          <cell r="T50">
            <v>371515.6</v>
          </cell>
          <cell r="U50">
            <v>3985773.66</v>
          </cell>
          <cell r="V50" t="str">
            <v>andamento</v>
          </cell>
        </row>
        <row r="51">
          <cell r="A51" t="str">
            <v>CONCORRÊNCIA Licitação: 001/2022</v>
          </cell>
          <cell r="B51" t="str">
            <v>SERVIÇO DE MANUTENÇÃO PREVENTIVA DO SISTEMA MACRODRENAGEM EM TODAS AS RPAS DA CIDADE DO RECIFE. LOTE III - RPA 04 E RPA 05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 t="str">
            <v>03.951.168/0001-70</v>
          </cell>
          <cell r="H51" t="str">
            <v>CONSTRUTORA NOVO MUNDO EIRELI</v>
          </cell>
          <cell r="I51" t="str">
            <v>6-038/22</v>
          </cell>
          <cell r="J51">
            <v>44719</v>
          </cell>
          <cell r="K51">
            <v>1155</v>
          </cell>
          <cell r="L51">
            <v>11636266.130000001</v>
          </cell>
          <cell r="N51">
            <v>0</v>
          </cell>
          <cell r="O51">
            <v>0</v>
          </cell>
          <cell r="P51">
            <v>0</v>
          </cell>
          <cell r="Q51" t="str">
            <v>3.3.90.39</v>
          </cell>
          <cell r="R51">
            <v>3533030.92</v>
          </cell>
          <cell r="T51">
            <v>0</v>
          </cell>
          <cell r="U51">
            <v>3533030.92</v>
          </cell>
          <cell r="V51" t="str">
            <v>andamento</v>
          </cell>
        </row>
        <row r="52">
          <cell r="A52" t="str">
            <v xml:space="preserve">  CONCORRÊNCIA Licitação: 004/2022</v>
          </cell>
          <cell r="B52" t="str">
            <v>IMPLANTAÇÃO DE CICLOVIA NA AV. AGAMENON MAGALHÃES NO TRECHO COMPREENDIDO ENTRE A RUA DR. LEOPOLDO LINS, NO BAIRRO DA BOA VISTA ATÉ A AVENIDA SATURTINO DE BRITO, NO BAIRRO DO CABANGA, RECIFE PE</v>
          </cell>
          <cell r="E52">
            <v>0</v>
          </cell>
          <cell r="F52">
            <v>0</v>
          </cell>
          <cell r="G52" t="str">
            <v>11.864.311/0001-15</v>
          </cell>
          <cell r="H52" t="str">
            <v>SBC SOCIEDADE BRASILEIRA DE CONSTRUCOES LTDA</v>
          </cell>
          <cell r="I52" t="str">
            <v>6-039/22</v>
          </cell>
          <cell r="J52">
            <v>44726</v>
          </cell>
          <cell r="K52">
            <v>337</v>
          </cell>
          <cell r="L52">
            <v>5966954.5499999998</v>
          </cell>
          <cell r="N52">
            <v>90</v>
          </cell>
          <cell r="O52">
            <v>0</v>
          </cell>
          <cell r="P52">
            <v>0</v>
          </cell>
          <cell r="Q52" t="str">
            <v>4.4.90.39</v>
          </cell>
          <cell r="R52">
            <v>1356785.9300000002</v>
          </cell>
          <cell r="T52">
            <v>1356785.93</v>
          </cell>
          <cell r="U52">
            <v>1356785.93</v>
          </cell>
          <cell r="V52" t="str">
            <v>andamento</v>
          </cell>
        </row>
        <row r="53">
          <cell r="A53" t="str">
            <v>CONCORRÊNCIA / Nº 005/2021</v>
          </cell>
          <cell r="B53" t="str">
            <v>CONTRATAÇÃO DE EMPRESA DE ENGENHARIA ESPECIALIZADA EM ILUMINAÇÃO PÚBLICA PARA REALIZAÇÃO DE MANUTENÇÃO PREVENTIVA E CORRETIVA DO SISTEMA DE ILUMINAÇÃO PÚBLICA ESPECIAL DO MUNICÍPIO DO RECIFE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 t="str">
            <v>41.116.138/0001-38</v>
          </cell>
          <cell r="H53" t="str">
            <v>REAL ENERGY LTDA</v>
          </cell>
          <cell r="I53" t="str">
            <v>6-040/21</v>
          </cell>
          <cell r="J53">
            <v>44469</v>
          </cell>
          <cell r="K53">
            <v>920</v>
          </cell>
          <cell r="L53">
            <v>1730333.68</v>
          </cell>
          <cell r="N53">
            <v>0</v>
          </cell>
          <cell r="O53">
            <v>0</v>
          </cell>
          <cell r="P53">
            <v>0</v>
          </cell>
          <cell r="Q53" t="str">
            <v>3.3.90.39</v>
          </cell>
          <cell r="R53">
            <v>897379.79</v>
          </cell>
          <cell r="T53">
            <v>145216.98000000001</v>
          </cell>
          <cell r="U53">
            <v>897379.79</v>
          </cell>
          <cell r="V53" t="str">
            <v>andamento</v>
          </cell>
        </row>
        <row r="54">
          <cell r="A54" t="str">
            <v>CONCORRÊNCIA Licitação: 006/2021</v>
          </cell>
          <cell r="B54" t="str">
            <v>CONTRATAÇÃO DE EMPRESA DE ENGENHARIA, PARA EXECUÇÃO DOS SERVIÇOS DE IMPLANTAÇÃO DA REDE DE DRENAGEM, PAVIMENTAÇÃO, ACESSIBILIDADE E SINALIZAÇÃO DAS RUAS DESEMBARGADOR VIRGÍLIO DE SA PEREIRA E MATHUZALEM WANDERLEY, LOCALIZADAS NO BAIRRO DO CORDEIRO. LOTE 02</v>
          </cell>
          <cell r="C54" t="str">
            <v xml:space="preserve"> 892570/2019</v>
          </cell>
          <cell r="D54" t="str">
            <v>Emenda Parlamentar Federal</v>
          </cell>
          <cell r="E54">
            <v>3820000</v>
          </cell>
          <cell r="F54">
            <v>8000</v>
          </cell>
          <cell r="G54" t="str">
            <v>02.724.778/0001-79</v>
          </cell>
          <cell r="H54" t="str">
            <v>UNITERRA - UNIAO TERRAPLENAGEM E CONSTRUCOES LTDA</v>
          </cell>
          <cell r="I54" t="str">
            <v>6-041/21</v>
          </cell>
          <cell r="J54">
            <v>44456</v>
          </cell>
          <cell r="K54">
            <v>180</v>
          </cell>
          <cell r="L54">
            <v>1022476.9</v>
          </cell>
          <cell r="N54">
            <v>450</v>
          </cell>
          <cell r="O54">
            <v>0</v>
          </cell>
          <cell r="P54">
            <v>114236.86</v>
          </cell>
          <cell r="Q54" t="str">
            <v>4.4.90.39</v>
          </cell>
          <cell r="R54">
            <v>383346.66000000003</v>
          </cell>
          <cell r="T54">
            <v>27885.22</v>
          </cell>
          <cell r="U54">
            <v>267230.31</v>
          </cell>
          <cell r="V54" t="str">
            <v>andamento</v>
          </cell>
        </row>
        <row r="55">
          <cell r="A55" t="str">
            <v>Concorrência Licitação: 009/2021</v>
          </cell>
          <cell r="B55" t="str">
            <v>EXECUÇÃO DE SERVIÇOS DE RECUPERAÇÃO DE PASSARELAS, PONTILHÕES E ELEMENTOS LIMITADORES DE ESPAÇO OU PROTEÇÃO NAS DIVERSAS RPAS DA CIDADE DO RECIFE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 t="str">
            <v>10.811.370/0001-62</v>
          </cell>
          <cell r="H55" t="str">
            <v>GUERRA CONSTRUCOES LTDA</v>
          </cell>
          <cell r="I55" t="str">
            <v>6-042/21</v>
          </cell>
          <cell r="J55">
            <v>44516</v>
          </cell>
          <cell r="K55">
            <v>790</v>
          </cell>
          <cell r="L55">
            <v>4874717.78</v>
          </cell>
          <cell r="N55">
            <v>0</v>
          </cell>
          <cell r="O55">
            <v>1218573.5900000001</v>
          </cell>
          <cell r="P55">
            <v>0</v>
          </cell>
          <cell r="Q55" t="str">
            <v>3.3.90.39</v>
          </cell>
          <cell r="R55">
            <v>5386719.5499999998</v>
          </cell>
          <cell r="T55">
            <v>301882.77</v>
          </cell>
          <cell r="U55">
            <v>5386719.5500000007</v>
          </cell>
          <cell r="V55" t="str">
            <v>andamento</v>
          </cell>
        </row>
        <row r="56">
          <cell r="A56" t="str">
            <v>TOMADA DE PREÇOS Licitação: 002/2022</v>
          </cell>
          <cell r="B56" t="str">
            <v>REQUALIFICAÇÃO DO PRÉDIO DO VELÓRIO DO CEMITÉRIO DE SANTO AMARO, LOCALIZADO NA RUA DO POMBAL, BAIRRO DE SANTO AMARO RECIFE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 t="str">
            <v>10.893.105/0001-70</v>
          </cell>
          <cell r="H56" t="str">
            <v>AGILIS CONSTRUTORA LTDA</v>
          </cell>
          <cell r="I56" t="str">
            <v>6-043/22</v>
          </cell>
          <cell r="J56">
            <v>44763</v>
          </cell>
          <cell r="K56">
            <v>90</v>
          </cell>
          <cell r="L56">
            <v>350959.89</v>
          </cell>
          <cell r="N56">
            <v>180</v>
          </cell>
          <cell r="O56">
            <v>0</v>
          </cell>
          <cell r="P56">
            <v>0</v>
          </cell>
          <cell r="Q56" t="str">
            <v>4.4.90.39</v>
          </cell>
          <cell r="R56">
            <v>228497.76</v>
          </cell>
          <cell r="T56">
            <v>0</v>
          </cell>
          <cell r="U56">
            <v>185939.97</v>
          </cell>
          <cell r="V56" t="str">
            <v>andamento</v>
          </cell>
        </row>
        <row r="57">
          <cell r="A57" t="str">
            <v>CONCORRÊNCIA / nº 006/2020</v>
          </cell>
          <cell r="B57" t="str">
            <v>CONTRATAÇÃO DE EMPRESA DE ENGENHARIA ESPECIALIZADA EM ILUMINAÇÃO PÚBLICA, PARA EXECUÇÃO DOS SERVIÇOS DE MANUTENÇÃO CONTÍNUA, CORRETIVA E PREVENTIVA, DO SISTEMA DE ILUMINAÇÃO PÚBLICA ESPECIAL DA CIDADE DO RECIFE, EM POSTES ACIMA DE 12 METROS DE ALTURA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 t="str">
            <v>01.346.561/0001-00</v>
          </cell>
          <cell r="H57" t="str">
            <v>VASCONCELOS E SANTOS LTDA</v>
          </cell>
          <cell r="I57" t="str">
            <v>6-044/20</v>
          </cell>
          <cell r="J57">
            <v>44162</v>
          </cell>
          <cell r="K57">
            <v>790</v>
          </cell>
          <cell r="L57">
            <v>1704583.5</v>
          </cell>
          <cell r="N57">
            <v>0</v>
          </cell>
          <cell r="O57">
            <v>302588</v>
          </cell>
          <cell r="P57">
            <v>0</v>
          </cell>
          <cell r="Q57" t="str">
            <v>3.3.90.39</v>
          </cell>
          <cell r="R57">
            <v>1499919.8599999999</v>
          </cell>
          <cell r="T57">
            <v>0</v>
          </cell>
          <cell r="U57">
            <v>1499919.8599999999</v>
          </cell>
          <cell r="V57" t="str">
            <v>encerrado</v>
          </cell>
        </row>
        <row r="58">
          <cell r="A58" t="str">
            <v>CONCORRÊNCIA Licitação: 006/2022</v>
          </cell>
          <cell r="B58" t="str">
            <v>RECUPERAÇÃO DE CONTENÇÃO DE CANAIS, NAS DIVERSAS REGIÃO POLITICO ADMINISTRATIVA RPA'S DA CIDADE DO RECIFE</v>
          </cell>
          <cell r="C58" t="str">
            <v>40.00017-6</v>
          </cell>
          <cell r="D58" t="str">
            <v>BANCO DO BRASIL</v>
          </cell>
          <cell r="E58">
            <v>0</v>
          </cell>
          <cell r="F58">
            <v>0</v>
          </cell>
          <cell r="G58" t="str">
            <v>10.811.370/0001-62</v>
          </cell>
          <cell r="H58" t="str">
            <v>GUERRA CONSTRUCOES LTDA</v>
          </cell>
          <cell r="I58" t="str">
            <v>6-046/22</v>
          </cell>
          <cell r="J58">
            <v>44776</v>
          </cell>
          <cell r="K58">
            <v>600</v>
          </cell>
          <cell r="L58">
            <v>6573647.8899999997</v>
          </cell>
          <cell r="N58">
            <v>0</v>
          </cell>
          <cell r="O58">
            <v>806620.6</v>
          </cell>
          <cell r="P58">
            <v>0</v>
          </cell>
          <cell r="Q58" t="str">
            <v>4.4.90.39</v>
          </cell>
          <cell r="R58">
            <v>2767764.39</v>
          </cell>
          <cell r="T58">
            <v>0</v>
          </cell>
          <cell r="U58">
            <v>2086345.87</v>
          </cell>
          <cell r="V58" t="str">
            <v>andamento</v>
          </cell>
        </row>
        <row r="59">
          <cell r="A59" t="str">
            <v>CONCORRÊNCIA Licitação: 005/2022</v>
          </cell>
          <cell r="B59" t="str">
            <v>CONTRATAÇÃO DE EMPRESA DE ENGENHARIA ESPECIALIZADA EM ILUMINAÇÃO PÚBLICA PARA FORNECIMENTO E INSTALAÇÃO DE SISTEMA DE PROTEÇÃO CONTRA VAZAMENTO DE CORRENTE E ATERRAMENTO NOS POSTES EXCLUSIVOS DE ILUMINAÇÃO PÚBLICA NA CIDADE DO RECIFE/PE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 t="str">
            <v>41.116.138/0001-38</v>
          </cell>
          <cell r="H59" t="str">
            <v>REAL ENERGY LTDA</v>
          </cell>
          <cell r="I59" t="str">
            <v>6-047/22</v>
          </cell>
          <cell r="J59">
            <v>44774</v>
          </cell>
          <cell r="K59">
            <v>760</v>
          </cell>
          <cell r="L59">
            <v>3890767.22</v>
          </cell>
          <cell r="N59">
            <v>0</v>
          </cell>
          <cell r="O59">
            <v>0</v>
          </cell>
          <cell r="P59">
            <v>0</v>
          </cell>
          <cell r="Q59" t="str">
            <v>3.3.90.39</v>
          </cell>
          <cell r="R59">
            <v>572798.81000000006</v>
          </cell>
          <cell r="T59">
            <v>395988.67</v>
          </cell>
          <cell r="U59">
            <v>572798.81000000006</v>
          </cell>
          <cell r="V59" t="str">
            <v>andamento</v>
          </cell>
        </row>
        <row r="60">
          <cell r="A60" t="str">
            <v>CONCORRÊNCIA Licitação: 019/2019</v>
          </cell>
          <cell r="B60" t="str">
            <v>SERVIÇOS DE MANUTENÇÃO DO SISTEMA DE MICRODRENAGEM DAS AGUAS PLUVIAIS DO MUNICIPIO DO RECIFE RPA 1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 t="str">
            <v>07.086.088/0001-55</v>
          </cell>
          <cell r="H60" t="str">
            <v>SOLO CONSTRUCOES E TERRAPLANAGEM LTDA</v>
          </cell>
          <cell r="I60" t="str">
            <v>6-048/20</v>
          </cell>
          <cell r="J60">
            <v>44168</v>
          </cell>
          <cell r="K60">
            <v>1125</v>
          </cell>
          <cell r="L60">
            <v>16571981.609999999</v>
          </cell>
          <cell r="N60">
            <v>0</v>
          </cell>
          <cell r="O60">
            <v>4067901.64</v>
          </cell>
          <cell r="P60">
            <v>5625476.3700000001</v>
          </cell>
          <cell r="Q60" t="str">
            <v>3.3.90.39</v>
          </cell>
          <cell r="R60">
            <v>15140252.85</v>
          </cell>
          <cell r="T60">
            <v>1021152.43</v>
          </cell>
          <cell r="U60">
            <v>13596965.649999999</v>
          </cell>
          <cell r="V60" t="str">
            <v>andamento</v>
          </cell>
        </row>
        <row r="61">
          <cell r="A61" t="str">
            <v>PREGÃO ELETRÔNICO Licitação: 012/2022</v>
          </cell>
          <cell r="B61" t="str">
            <v>CONTRATAÇÃO DE EMPRESA DE ENGENHARIA ESPECIALIZADA EM ILUMINAÇÃO PÚBLICA, PARA EXECUÇÃO DOS SERVIÇOS DE MANUTENÇÃO CONTÍNUA, CORRETIVA E PREVENTIVA, DO SISTEMA DE ILUMINAÇÃO PÚBLICA ESPECIAL DA CIDADE DO RECIFE, EM POSTES ACIMA DE 12 METROS DE ALTURA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 t="str">
            <v>32.185.141/0001-12</v>
          </cell>
          <cell r="H61" t="str">
            <v>CASTRO &amp; ROCHA LTDA</v>
          </cell>
          <cell r="I61" t="str">
            <v>6-048/22</v>
          </cell>
          <cell r="J61">
            <v>44776</v>
          </cell>
          <cell r="K61">
            <v>907</v>
          </cell>
          <cell r="L61">
            <v>2538999.92</v>
          </cell>
          <cell r="N61">
            <v>0</v>
          </cell>
          <cell r="O61">
            <v>0</v>
          </cell>
          <cell r="P61">
            <v>0</v>
          </cell>
          <cell r="Q61" t="str">
            <v>3.3.90.39</v>
          </cell>
          <cell r="R61">
            <v>247144.79</v>
          </cell>
          <cell r="T61">
            <v>80761.710000000006</v>
          </cell>
          <cell r="U61">
            <v>150954.06</v>
          </cell>
          <cell r="V61" t="str">
            <v>andamento</v>
          </cell>
        </row>
        <row r="62">
          <cell r="A62" t="str">
            <v>PREGÃO ELETRÔNICO Licitação: 001/2022</v>
          </cell>
          <cell r="B62" t="str">
            <v>CONTRATAÇÃO DE PESSOA JURÍDICA ESPECIALIZADA EM ENGENHARIA SANITÁRIA PARA RECEBIMENTO, TRATAMENTO E DISPOSIÇÃO FINAL DE RESÍDUOS SÓLIDOS URBANOS CLASSE IIA E CLASSE IIB COLETADOS PELA EMLURB NO MUNICÍPIO DE RECIFE, NOS LOTES ABAIXO ESPECIFICADOS E SUAS RESPECTIVAS QUANTIDADES ESTIMATIVAS. LOTE I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 t="str">
            <v>03.279.285/0027-79</v>
          </cell>
          <cell r="H62" t="str">
            <v>ORIZON MEIO AMBIENTE S.A.</v>
          </cell>
          <cell r="I62" t="str">
            <v>6-049/22</v>
          </cell>
          <cell r="J62">
            <v>44775</v>
          </cell>
          <cell r="K62">
            <v>365</v>
          </cell>
          <cell r="L62">
            <v>50446292</v>
          </cell>
          <cell r="N62">
            <v>0</v>
          </cell>
          <cell r="O62">
            <v>0</v>
          </cell>
          <cell r="P62">
            <v>0</v>
          </cell>
          <cell r="Q62" t="str">
            <v>3.3.90.39</v>
          </cell>
          <cell r="R62">
            <v>26555559.530000001</v>
          </cell>
          <cell r="T62">
            <v>10211927.76</v>
          </cell>
          <cell r="U62">
            <v>26555559.530000001</v>
          </cell>
          <cell r="V62" t="str">
            <v>andamento</v>
          </cell>
        </row>
        <row r="63">
          <cell r="A63" t="str">
            <v>PREGÃO ELETRÔNICO Licitação: 001/2022</v>
          </cell>
          <cell r="B63" t="str">
            <v>CONTRATAÇÃO DE PESSOA JURÍDICA ESPECIALIZADA EM ENGENHARIA SANITÁRIA PARA RECEBIMENTO, TRATAMENTO E DISPOSIÇÃO FINAL DE RESÍDUOS SÓLIDOS URBANOS CLASSE IIA E CLASSE IIB COLETADOS PELA EMLURB NO MUNICÍPIO DE RECIFE, NOS LOTES ABAIXO ESPECIFICADOS E SUAS RESPECTIVAS QUANTIDADES ESTIMATIVAS. LOTE II</v>
          </cell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 t="str">
            <v>03.279.285/0027-79</v>
          </cell>
          <cell r="H63" t="str">
            <v>ORIZON MEIO AMBIENTE S.A.</v>
          </cell>
          <cell r="I63" t="str">
            <v>6-050/22</v>
          </cell>
          <cell r="J63">
            <v>44775</v>
          </cell>
          <cell r="K63">
            <v>365</v>
          </cell>
          <cell r="L63">
            <v>12552600</v>
          </cell>
          <cell r="N63">
            <v>0</v>
          </cell>
          <cell r="O63">
            <v>0</v>
          </cell>
          <cell r="P63">
            <v>0</v>
          </cell>
          <cell r="Q63" t="str">
            <v>3.3.90.39</v>
          </cell>
          <cell r="R63">
            <v>6579632.5099999998</v>
          </cell>
          <cell r="T63">
            <v>2224140.41</v>
          </cell>
          <cell r="U63">
            <v>6579632.5099999998</v>
          </cell>
          <cell r="V63" t="str">
            <v>andamento</v>
          </cell>
        </row>
        <row r="64">
          <cell r="A64" t="str">
            <v>PREGÃO ELETRÔNICO Licitação: 023/2022</v>
          </cell>
          <cell r="B64" t="str">
            <v>CONTRATAÇÃO DE EMPRESA DE ENGENHARIA ESPECIALIZADA PARA A EXECUÇÃO DOS SERVIÇOS DE PAVIMENTAÇÃO E DRENAGEM COM A ELEVAÇÃO DE GREIDE NA AVENIDA AGAMENON MAGALHÃES, NO TRECHO ENTRE PARQUE AMORIM E A MC DONALD'S, BAIRRO DAS GRAÇAS, RECIFE/PE</v>
          </cell>
          <cell r="E64">
            <v>0</v>
          </cell>
          <cell r="F64">
            <v>0</v>
          </cell>
          <cell r="G64" t="str">
            <v>02.724.778/0001-79</v>
          </cell>
          <cell r="H64" t="str">
            <v>UNITERRA - UNIAO TERRAPLENAGEM E CONSTRUCOES LTDA</v>
          </cell>
          <cell r="I64" t="str">
            <v>6-051/22</v>
          </cell>
          <cell r="J64">
            <v>44777</v>
          </cell>
          <cell r="K64">
            <v>222</v>
          </cell>
          <cell r="L64">
            <v>3553996.19</v>
          </cell>
          <cell r="N64">
            <v>60</v>
          </cell>
          <cell r="O64">
            <v>0</v>
          </cell>
          <cell r="P64">
            <v>0</v>
          </cell>
          <cell r="Q64" t="str">
            <v>4.4.90.39</v>
          </cell>
          <cell r="R64">
            <v>1049635.95</v>
          </cell>
          <cell r="T64">
            <v>1049635.95</v>
          </cell>
          <cell r="U64">
            <v>1049635.95</v>
          </cell>
          <cell r="V64" t="str">
            <v>andamento</v>
          </cell>
        </row>
        <row r="65">
          <cell r="A65" t="str">
            <v>PREGÃO ELETRÔNICO Licitação: 022/2022</v>
          </cell>
          <cell r="B65" t="str">
            <v>CONTRATAÇÃO DE EMPRESA ESPECIALIZADA NO RAMO DE ENGENHARIA PARA EXECUÇÃO DE DEMOLIÇÃO E CONSTRUÇÃO DO MÓDULO 66 (GAVETAS E OSSUÁRIOS) E RECUPERAÇÃO ESTRUTURAL DO MURO DIVISA COM O IML, LOCALIZADOS NO CEMITÉRIO DE SANTO AMARO, BAIRRO DE SANTO AMARO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 t="str">
            <v>34.071.337/0001-01</v>
          </cell>
          <cell r="H65" t="str">
            <v>FONTE SOUTO CONSTRUÇÕES EIRELI</v>
          </cell>
          <cell r="I65" t="str">
            <v>6-052/22</v>
          </cell>
          <cell r="J65">
            <v>44782</v>
          </cell>
          <cell r="K65">
            <v>150</v>
          </cell>
          <cell r="L65">
            <v>274949.26</v>
          </cell>
          <cell r="N65">
            <v>60</v>
          </cell>
          <cell r="O65">
            <v>0</v>
          </cell>
          <cell r="P65">
            <v>0</v>
          </cell>
          <cell r="Q65" t="str">
            <v>4.4.90.39</v>
          </cell>
          <cell r="R65">
            <v>193270.53</v>
          </cell>
          <cell r="T65">
            <v>23302</v>
          </cell>
          <cell r="U65">
            <v>193270.53</v>
          </cell>
          <cell r="V65" t="str">
            <v>andamento</v>
          </cell>
        </row>
        <row r="66">
          <cell r="A66" t="str">
            <v>PREGÃO ELETRÔNICO Licitação: 026/2021</v>
          </cell>
          <cell r="B66" t="str">
            <v>CONTRATAÇÃO DE EMPRESA ESPECIALIZADA EM ENGENHARIA SANITÁRIA PARA A EXECUÇÃO DOS SERVIÇOS DE COLETA E LIMPEZA URBANA NO MUNICÍPIO DO RECIFE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 t="str">
            <v>40.884.405/0001-54</v>
          </cell>
          <cell r="H66" t="str">
            <v>LOQUIPE LOCACAO DE EQUIPAMENTOS E MAO DE OBRA LTDA</v>
          </cell>
          <cell r="I66" t="str">
            <v>6-053/21</v>
          </cell>
          <cell r="J66">
            <v>44530</v>
          </cell>
          <cell r="K66">
            <v>1920</v>
          </cell>
          <cell r="L66">
            <v>133146086.40000001</v>
          </cell>
          <cell r="N66">
            <v>0</v>
          </cell>
          <cell r="O66">
            <v>0</v>
          </cell>
          <cell r="P66">
            <v>28492880.399999999</v>
          </cell>
          <cell r="Q66" t="str">
            <v>3.3.90.39</v>
          </cell>
          <cell r="R66">
            <v>32507050.969999999</v>
          </cell>
          <cell r="T66">
            <v>8254849.1799999997</v>
          </cell>
          <cell r="U66">
            <v>32234915.899999999</v>
          </cell>
          <cell r="V66" t="str">
            <v>andamento</v>
          </cell>
        </row>
        <row r="67">
          <cell r="A67" t="str">
            <v>CONCORRÊNCIA Licitação: 009/2022</v>
          </cell>
          <cell r="B67" t="str">
            <v>CONTRATAÇÃO DE EMPRESA DE ENGENHARIA PARA EXECUÇÃO DA RECUPERAÇÃO ESTRUTURAL E MANUTENÇÃO PREVENTIVA E CORRETIVA DAS TORRES DE ILUMINAÇÃO PÚBLICA DA ORLA DA AVENIDA BOA VIAGEM, RECIFE/PE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 t="str">
            <v>03.834.750/0001-57</v>
          </cell>
          <cell r="H67" t="str">
            <v>EIP SERVICOS DE ILUMINACAO LTDA</v>
          </cell>
          <cell r="I67" t="str">
            <v>6-053/22</v>
          </cell>
          <cell r="J67">
            <v>44785</v>
          </cell>
          <cell r="K67">
            <v>240</v>
          </cell>
          <cell r="L67">
            <v>661511.15</v>
          </cell>
          <cell r="N67">
            <v>90</v>
          </cell>
          <cell r="O67">
            <v>0</v>
          </cell>
          <cell r="P67">
            <v>0</v>
          </cell>
          <cell r="Q67" t="str">
            <v>4.4.90.39</v>
          </cell>
          <cell r="R67">
            <v>190627.04</v>
          </cell>
          <cell r="T67">
            <v>0</v>
          </cell>
          <cell r="U67">
            <v>55477.62</v>
          </cell>
          <cell r="V67" t="str">
            <v>andamento</v>
          </cell>
        </row>
        <row r="68">
          <cell r="A68" t="str">
            <v>CONCORRÊNCIA Licitação: 007/2022</v>
          </cell>
          <cell r="B68" t="str">
            <v>CONTRATAÇÃO DE EMPRESA DE ENGENHARIA ESPECIALIZADA EM ILUMINAÇÃO PÚBLICA, PARA FORNECIMENTO E INSTALAÇÃO DE LUMINÁRIAS RGB COM TECNOLOGIA LED E REDE ELÉTRICA, PARA ILUMINAÇÃO CÊNICA DO PARQUE DAS ESCULTURAS DE BRENNAND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 t="str">
            <v>41.116.138/0001-38</v>
          </cell>
          <cell r="H68" t="str">
            <v>REAL ENERGY LTDA</v>
          </cell>
          <cell r="I68" t="str">
            <v>6-054/22</v>
          </cell>
          <cell r="J68">
            <v>44799</v>
          </cell>
          <cell r="K68">
            <v>390</v>
          </cell>
          <cell r="L68">
            <v>1839293.99</v>
          </cell>
          <cell r="N68">
            <v>0</v>
          </cell>
          <cell r="O68">
            <v>0</v>
          </cell>
          <cell r="P68">
            <v>0</v>
          </cell>
          <cell r="Q68" t="str">
            <v>4.4.90.39</v>
          </cell>
          <cell r="R68">
            <v>370547.37</v>
          </cell>
          <cell r="T68">
            <v>108045.21</v>
          </cell>
          <cell r="U68">
            <v>370547.37</v>
          </cell>
          <cell r="V68" t="str">
            <v>andamento</v>
          </cell>
        </row>
        <row r="69">
          <cell r="A69" t="str">
            <v>CONCORRÊNCIA Licitação: 011/2021</v>
          </cell>
          <cell r="B69" t="str">
            <v>CONTRATAÇÃO DE SERVIÇOS DE APOIO TÉCNICO AO MONITORAMENTO DAS AÇÕES DE MANUTENÇÃO DO SISTEMA VIÁRIO DA CIDADE DO RECIFE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 t="str">
            <v>41.075.755/0001-32</v>
          </cell>
          <cell r="H69" t="str">
            <v>NORCONSULT PROJETOS E CONSULTORIA LTDA</v>
          </cell>
          <cell r="I69" t="str">
            <v>6-055/21</v>
          </cell>
          <cell r="J69">
            <v>44531</v>
          </cell>
          <cell r="K69">
            <v>1155</v>
          </cell>
          <cell r="L69">
            <v>6729243.9000000004</v>
          </cell>
          <cell r="N69">
            <v>0</v>
          </cell>
          <cell r="O69">
            <v>54430.78</v>
          </cell>
          <cell r="P69">
            <v>-1579310.0099999998</v>
          </cell>
          <cell r="Q69" t="str">
            <v>3.3.90.39</v>
          </cell>
          <cell r="R69">
            <v>1700587.58</v>
          </cell>
          <cell r="T69">
            <v>253836.39</v>
          </cell>
          <cell r="U69">
            <v>1578284.62</v>
          </cell>
          <cell r="V69" t="str">
            <v>andamento</v>
          </cell>
        </row>
        <row r="70">
          <cell r="A70" t="str">
            <v>CONCORRÊNCIA Licitação: 010/2022</v>
          </cell>
          <cell r="B70" t="str">
            <v>ERVIÇOS DE IMPLANTAÇÃO DE DRENAGEM E PAVIMENTAÇÃO NA RUA TABELIÃO JOÃO ROMA, BAIRRO DA VÁRZEA CAXANGÁ</v>
          </cell>
          <cell r="C70" t="str">
            <v>40.00017-6</v>
          </cell>
          <cell r="D70" t="str">
            <v>BANCO DO BRASIL</v>
          </cell>
          <cell r="E70">
            <v>0</v>
          </cell>
          <cell r="F70">
            <v>0</v>
          </cell>
          <cell r="G70" t="str">
            <v>10.893.105/0001-70</v>
          </cell>
          <cell r="H70" t="str">
            <v>AGILIS CONSTRUTORA LTDA</v>
          </cell>
          <cell r="I70" t="str">
            <v>6-055/22</v>
          </cell>
          <cell r="J70">
            <v>44799</v>
          </cell>
          <cell r="K70">
            <v>240</v>
          </cell>
          <cell r="L70">
            <v>2137870.29</v>
          </cell>
          <cell r="N70">
            <v>121</v>
          </cell>
          <cell r="O70">
            <v>382686.6</v>
          </cell>
          <cell r="P70">
            <v>0</v>
          </cell>
          <cell r="Q70" t="str">
            <v>4.4.90.39</v>
          </cell>
          <cell r="R70">
            <v>1832961.28</v>
          </cell>
          <cell r="T70">
            <v>0</v>
          </cell>
          <cell r="U70">
            <v>1427338.21</v>
          </cell>
          <cell r="V70" t="str">
            <v>andamento</v>
          </cell>
        </row>
        <row r="71">
          <cell r="A71" t="str">
            <v>Pregão Eletrônico Licitação: 032/2021</v>
          </cell>
          <cell r="B71" t="str">
            <v>CONTRATAÇÃO DE EMPRESA ESPECIALIZADA NA PRESTAÇÃO DE SERVIÇOS CONTÍNUOS DE PAISAGISMO E CONSERVAÇÃO PREVENTIVA E CORRETIVA DE PARQUES, PRAÇAS, JARDINS E ÁREAS VERDES PÚBLICAS NA CIDADE DO RECIFE - LOTE 01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 t="str">
            <v>08.963.533/0001-80</v>
          </cell>
          <cell r="H71" t="str">
            <v>FAR COMERCIO E SERVIÇOS PAISAGISTICOS LTDA</v>
          </cell>
          <cell r="I71" t="str">
            <v>6-056/21</v>
          </cell>
          <cell r="J71">
            <v>44531</v>
          </cell>
          <cell r="K71">
            <v>760</v>
          </cell>
          <cell r="L71">
            <v>3696587.52</v>
          </cell>
          <cell r="N71">
            <v>0</v>
          </cell>
          <cell r="P71">
            <v>0</v>
          </cell>
          <cell r="Q71" t="str">
            <v>3.3.90.39</v>
          </cell>
          <cell r="R71">
            <v>2263395.92</v>
          </cell>
          <cell r="T71">
            <v>308048.96000000002</v>
          </cell>
          <cell r="U71">
            <v>2263395.92</v>
          </cell>
          <cell r="V71" t="str">
            <v>andamento</v>
          </cell>
        </row>
        <row r="72">
          <cell r="A72" t="str">
            <v>CONCORRÊNCIA Licitação: 014/2022</v>
          </cell>
          <cell r="B72" t="str">
            <v>SERVIÇOS DE MANUTENÇÃO DO SISTEMA DA MICRODRENAGEM DE ÁGUAS PLUVIAIS DAS RPA'S 4, 5 E 6 DA CIDADE DO RECIFE. LOTE I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 t="str">
            <v>40.884.405/0001-54</v>
          </cell>
          <cell r="H72" t="str">
            <v>LOQUIPE LOCACAO DE EQUIPAMENTOS E MAO DE OBRA LTDA</v>
          </cell>
          <cell r="I72" t="str">
            <v>6-056/22</v>
          </cell>
          <cell r="J72">
            <v>44802</v>
          </cell>
          <cell r="K72">
            <v>1155</v>
          </cell>
          <cell r="L72">
            <v>34378587.229999997</v>
          </cell>
          <cell r="N72">
            <v>0</v>
          </cell>
          <cell r="O72">
            <v>265138.75</v>
          </cell>
          <cell r="P72">
            <v>0</v>
          </cell>
          <cell r="Q72" t="str">
            <v>3.3.90.39</v>
          </cell>
          <cell r="R72">
            <v>5010271.4400000004</v>
          </cell>
          <cell r="T72">
            <v>1924098.52</v>
          </cell>
          <cell r="U72">
            <v>4265124.67</v>
          </cell>
          <cell r="V72" t="str">
            <v>andamento</v>
          </cell>
        </row>
        <row r="73">
          <cell r="A73" t="str">
            <v>Pregão Eletrônico Licitação: 032/2021</v>
          </cell>
          <cell r="B73" t="str">
            <v>CONTRATAÇÃO DE EMPRESA ESPECIALIZADA NA PRESTAÇÃO DE SERVIÇOS CONTÍNUOS DE PAISAGISMO E CONSERVAÇÃO PREVENTIVA E CORRETIVA DE PARQUES, PRAÇAS, JARDINS E ÁREAS VERDES PÚBLICOS NA CIDADE DO RECIFE - LOTE 02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 t="str">
            <v>08.963.533/0001-80</v>
          </cell>
          <cell r="H73" t="str">
            <v>FAR COMERCIO E SERVIÇOS PAISAGISTICOS LTDA</v>
          </cell>
          <cell r="I73" t="str">
            <v>6-057/21</v>
          </cell>
          <cell r="J73">
            <v>44532</v>
          </cell>
          <cell r="K73">
            <v>760</v>
          </cell>
          <cell r="L73">
            <v>3380477.52</v>
          </cell>
          <cell r="N73">
            <v>0</v>
          </cell>
          <cell r="O73">
            <v>255909.3</v>
          </cell>
          <cell r="P73">
            <v>0</v>
          </cell>
          <cell r="Q73" t="str">
            <v>3.3.90.39</v>
          </cell>
          <cell r="R73">
            <v>2214566.4700000002</v>
          </cell>
          <cell r="T73">
            <v>456680.93</v>
          </cell>
          <cell r="U73">
            <v>2214566.4700000002</v>
          </cell>
          <cell r="V73" t="str">
            <v>andamento</v>
          </cell>
        </row>
        <row r="74">
          <cell r="A74" t="str">
            <v>CONCORRÊNCIA Licitação: 014/2022</v>
          </cell>
          <cell r="B74" t="str">
            <v>SERVIÇOS DE MANUTENÇÃO DO SISTEMA DA MICRODRENAGEM DE ÁGUAS PLUVIAIS DAS RPA'S 4, 5 E 6 DA CIDADE DO RECIFE. LOTE II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 t="str">
            <v>10.811.370/0001-62</v>
          </cell>
          <cell r="H74" t="str">
            <v>GUERRA CONSTRUCOES LTDA</v>
          </cell>
          <cell r="I74" t="str">
            <v>6-057/22</v>
          </cell>
          <cell r="J74">
            <v>44802</v>
          </cell>
          <cell r="K74">
            <v>1155</v>
          </cell>
          <cell r="L74">
            <v>35796096.350000001</v>
          </cell>
          <cell r="N74">
            <v>0</v>
          </cell>
          <cell r="O74">
            <v>0</v>
          </cell>
          <cell r="P74">
            <v>0</v>
          </cell>
          <cell r="Q74" t="str">
            <v>3.3.90.39</v>
          </cell>
          <cell r="R74">
            <v>6054517.8200000003</v>
          </cell>
          <cell r="T74">
            <v>1936640.17</v>
          </cell>
          <cell r="U74">
            <v>5734405.4299999997</v>
          </cell>
          <cell r="V74" t="str">
            <v>andamento</v>
          </cell>
        </row>
        <row r="75">
          <cell r="A75" t="str">
            <v>CONCORRÊNCIA Licitação: 015/2021</v>
          </cell>
          <cell r="B75" t="str">
            <v>SERVIÇOS DE ENGENHARIA CONSULTIVA PARA APOIO TÉCNICO E GERENCIAL AO PROCESSO DE MONITORAMENTO DAS AÇÕES DE LIMPEZA URBANA E ATIVIDADES DE LOGÍSTICA DO TRANSPORTE DE RESÍDUOS DA CONSTRUÇÃO CIVIL DA CIDADE DO RECIFE, MEDIANTE SUPORTE A IMPLANTAÇÃO E OPERAÇÃO DE UMA CENTRAL DE CONTROLE OPERACIONAL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 t="str">
            <v>12.285.441/0001-66</v>
          </cell>
          <cell r="H75" t="str">
            <v>TPF ENGENHARIA LTDA</v>
          </cell>
          <cell r="I75" t="str">
            <v>6-058/21</v>
          </cell>
          <cell r="J75">
            <v>44531</v>
          </cell>
          <cell r="K75">
            <v>1890</v>
          </cell>
          <cell r="L75">
            <v>39551349</v>
          </cell>
          <cell r="N75">
            <v>0</v>
          </cell>
          <cell r="O75">
            <v>0</v>
          </cell>
          <cell r="P75">
            <v>2254425.6</v>
          </cell>
          <cell r="Q75" t="str">
            <v>3.3.90.39</v>
          </cell>
          <cell r="R75">
            <v>9326053.209999999</v>
          </cell>
          <cell r="T75">
            <v>1318378.3</v>
          </cell>
          <cell r="U75">
            <v>8591716.540000001</v>
          </cell>
          <cell r="V75" t="str">
            <v>andamento</v>
          </cell>
        </row>
        <row r="76">
          <cell r="A76" t="str">
            <v>CONCORRÊNCIA Licitação: 013/2022</v>
          </cell>
          <cell r="B76" t="str">
            <v>REQUALIFICAÇÃO DE DRENAGEM E PAVIMENTAÇÃO DAS RUAS CASTRO ALVES, ENGENHEIRO LUIZ VAUTHIER, RUA DA CORAGEM, RUA PROFESSOR MIRANDA CURIÓ E RUA DONA JULIETA, LOCALIZADAS NO BAIRRO DA ENCRUZILHADA</v>
          </cell>
          <cell r="E76">
            <v>0</v>
          </cell>
          <cell r="F76">
            <v>0</v>
          </cell>
          <cell r="G76" t="str">
            <v>11.481.173/0001-95</v>
          </cell>
          <cell r="H76" t="str">
            <v>ETNA ENGENHARIA E TERRAPLANAGEM NACIONAL LTDA</v>
          </cell>
          <cell r="I76" t="str">
            <v>6-058/22</v>
          </cell>
          <cell r="J76">
            <v>44812</v>
          </cell>
          <cell r="K76">
            <v>270</v>
          </cell>
          <cell r="L76">
            <v>3825898.74</v>
          </cell>
          <cell r="N76">
            <v>0</v>
          </cell>
          <cell r="O76">
            <v>0</v>
          </cell>
          <cell r="P76">
            <v>0</v>
          </cell>
          <cell r="Q76" t="str">
            <v>4.4.90.39</v>
          </cell>
          <cell r="R76">
            <v>394819.82</v>
          </cell>
          <cell r="T76">
            <v>394819.82</v>
          </cell>
          <cell r="U76">
            <v>394819.82</v>
          </cell>
          <cell r="V76" t="str">
            <v>andamento</v>
          </cell>
        </row>
        <row r="77">
          <cell r="A77" t="str">
            <v>CONCORRÊNCIA Licitação: 012/2022</v>
          </cell>
          <cell r="B77" t="str">
            <v>REQUALIFICAÇÃO DA DRENAGEM E PAVIMENTAÇÃO DA RUA IMPERIAL E DA DRENAGEM DA AV. SUL, TRECHO COMPREENDIDO ENTRE A TRAVESSA DO GASPAR E AV. DANTAS BARRETO, BAIRRO DE SÃO JOSÉ</v>
          </cell>
          <cell r="E77">
            <v>0</v>
          </cell>
          <cell r="F77">
            <v>0</v>
          </cell>
          <cell r="G77" t="str">
            <v>11.481.173/0001-95</v>
          </cell>
          <cell r="H77" t="str">
            <v>ETNA ENGENHARIA E TERRAPLANAGEM NACIONAL LTDA</v>
          </cell>
          <cell r="I77" t="str">
            <v>6-059/22</v>
          </cell>
          <cell r="J77">
            <v>44803</v>
          </cell>
          <cell r="K77">
            <v>270</v>
          </cell>
          <cell r="L77">
            <v>8106707.0800000001</v>
          </cell>
          <cell r="N77">
            <v>0</v>
          </cell>
          <cell r="O77">
            <v>0</v>
          </cell>
          <cell r="P77">
            <v>0</v>
          </cell>
          <cell r="Q77" t="str">
            <v>4.4.90.39</v>
          </cell>
          <cell r="R77">
            <v>678866.13</v>
          </cell>
          <cell r="T77">
            <v>536249.41</v>
          </cell>
          <cell r="U77">
            <v>536249.41</v>
          </cell>
          <cell r="V77" t="str">
            <v>andamento</v>
          </cell>
        </row>
        <row r="78">
          <cell r="A78" t="str">
            <v>TOMADA DE PREÇOS Licitação: 007/2021</v>
          </cell>
          <cell r="B78" t="str">
            <v>CONTRATAÇÃO DE EMPRESA ESPECIALIZADA NO RAMO DE ENGENHARIA PARA EXECUÇÃO DOS SERVIÇOS DE IMPLANTAÇÃO DE PAVIMENTAÇÃO, DRENAGEM, ACESSIBILIDADE E SINALIZAÇÃO DAS RUAS BENJAMIN FONSECA - LOTE 1.  JOSÉ MOLITERNO - LOTE 2, SITUADAS NA CIDADE DO RECIFE</v>
          </cell>
          <cell r="C78" t="str">
            <v>884436/2019</v>
          </cell>
          <cell r="D78" t="str">
            <v>Emenda Parlamentar Federal</v>
          </cell>
          <cell r="E78">
            <v>355737</v>
          </cell>
          <cell r="F78">
            <v>2000</v>
          </cell>
          <cell r="G78" t="str">
            <v>05.625.079/0001-60</v>
          </cell>
          <cell r="H78" t="str">
            <v xml:space="preserve">CONSTRUTORA MARDIFI LTDA - EPP </v>
          </cell>
          <cell r="I78" t="str">
            <v>6-060/21</v>
          </cell>
          <cell r="J78">
            <v>44603</v>
          </cell>
          <cell r="K78">
            <v>150</v>
          </cell>
          <cell r="L78">
            <v>193107.81</v>
          </cell>
          <cell r="N78">
            <v>270</v>
          </cell>
          <cell r="O78">
            <v>0</v>
          </cell>
          <cell r="P78">
            <v>0</v>
          </cell>
          <cell r="Q78" t="str">
            <v>4.4.90.39</v>
          </cell>
          <cell r="R78">
            <v>189707.78</v>
          </cell>
          <cell r="T78">
            <v>0</v>
          </cell>
          <cell r="U78">
            <v>0</v>
          </cell>
          <cell r="V78" t="str">
            <v>andamento</v>
          </cell>
        </row>
        <row r="79">
          <cell r="A79" t="str">
            <v>CONCORRÊNCIA Licitação: 011/2022</v>
          </cell>
          <cell r="B79" t="str">
            <v>REQUALIFICAÇÃO DA DRENAGEM E PAVIMENTAÇÃO DA RUA DA CONCÓRDIA, TRECHO COMPREENDIDO ENTRE A RUA MUNIZ E RUA FREI CANECA, BAIRRO DE SÃO JOSÉ</v>
          </cell>
          <cell r="E79">
            <v>0</v>
          </cell>
          <cell r="F79">
            <v>0</v>
          </cell>
          <cell r="G79" t="str">
            <v>10.811.370/0001-62</v>
          </cell>
          <cell r="H79" t="str">
            <v>GUERRA CONSTRUCOES LTDA</v>
          </cell>
          <cell r="I79" t="str">
            <v>6-060/22</v>
          </cell>
          <cell r="J79">
            <v>44817</v>
          </cell>
          <cell r="K79">
            <v>240</v>
          </cell>
          <cell r="L79">
            <v>4111668.75</v>
          </cell>
          <cell r="N79">
            <v>0</v>
          </cell>
          <cell r="O79">
            <v>0</v>
          </cell>
          <cell r="P79">
            <v>0</v>
          </cell>
          <cell r="Q79" t="str">
            <v>4.4.90.39</v>
          </cell>
          <cell r="R79">
            <v>1506357.47</v>
          </cell>
          <cell r="T79">
            <v>1033615.85</v>
          </cell>
          <cell r="U79">
            <v>1033615.85</v>
          </cell>
          <cell r="V79" t="str">
            <v>andamento</v>
          </cell>
        </row>
        <row r="80">
          <cell r="A80" t="str">
            <v>TOMADA DE PREÇOS Licitação: 007/2021</v>
          </cell>
          <cell r="B80" t="str">
            <v>CONTRATAÇÃO DE EMPRESA ESPECIALIZADA NO RAMO DE ENGENHARIA PARA EXECUÇÃO DOS SERVIÇOS DE IMPLANTAÇÃO DE PAVIMENTAÇÃO, DRENAGEM, ACESSIBILIDADE E SINALIZAÇÃO DAS RUAS BENJAMIN FONSECA - LOTE 1.  JOSÉ MOLITERNO - LOTE 2, SITUADAS NA CIDADE DO RECIFE</v>
          </cell>
          <cell r="C80" t="str">
            <v>884436/2019</v>
          </cell>
          <cell r="D80" t="str">
            <v>Emenda Parlamentar Federal</v>
          </cell>
          <cell r="E80">
            <v>355737</v>
          </cell>
          <cell r="F80">
            <v>2000</v>
          </cell>
          <cell r="G80" t="str">
            <v>05.625.079/0001-60</v>
          </cell>
          <cell r="H80" t="str">
            <v xml:space="preserve">CONSTRUTORA MARDIFI LTDA - EPP </v>
          </cell>
          <cell r="I80" t="str">
            <v>6-061/21</v>
          </cell>
          <cell r="J80">
            <v>44603</v>
          </cell>
          <cell r="K80">
            <v>150</v>
          </cell>
          <cell r="L80">
            <v>119800.38</v>
          </cell>
          <cell r="N80">
            <v>360</v>
          </cell>
          <cell r="O80">
            <v>0</v>
          </cell>
          <cell r="P80">
            <v>-48.25</v>
          </cell>
          <cell r="Q80" t="str">
            <v>4.4.90.39</v>
          </cell>
          <cell r="R80">
            <v>5813.89</v>
          </cell>
          <cell r="T80">
            <v>0</v>
          </cell>
          <cell r="U80">
            <v>0</v>
          </cell>
          <cell r="V80" t="str">
            <v>andamento</v>
          </cell>
        </row>
        <row r="81">
          <cell r="A81" t="str">
            <v>CREDENCIAMENTO Licitação: 001/2022</v>
          </cell>
          <cell r="B81" t="str">
            <v>CREDENCIAMENTO DE EMPRESA ESPECIALIZADA EM ENGENHARIA SANITÁRIA PARA EXECUTAR OS SERVIÇOS DE RECOLHIMENTO, TRANSPORTE, TRATAMENTO E DISPOSIÇÃO FINAL AMBIENTALMENTE CORRETA DE RESÍDUO LÍQUIDO LIXIVIADO ORIUNDO DO ATERRO DESATIVADO DA MURIBECA SOB A RESPONSABILIDADE DESTA AUTARQUIA</v>
          </cell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 t="str">
            <v>03.279.285/0027-79</v>
          </cell>
          <cell r="H81" t="str">
            <v>ORIZON MEIO AMBIENTE S.A.</v>
          </cell>
          <cell r="I81" t="str">
            <v>6-061/22</v>
          </cell>
          <cell r="J81">
            <v>44823</v>
          </cell>
          <cell r="K81">
            <v>365</v>
          </cell>
          <cell r="L81">
            <v>2031400</v>
          </cell>
          <cell r="N81">
            <v>0</v>
          </cell>
          <cell r="O81">
            <v>0</v>
          </cell>
          <cell r="P81">
            <v>0</v>
          </cell>
          <cell r="Q81" t="str">
            <v>3.3.90.39</v>
          </cell>
          <cell r="R81">
            <v>553933.76</v>
          </cell>
          <cell r="T81">
            <v>240982.08</v>
          </cell>
          <cell r="U81">
            <v>553933.76</v>
          </cell>
          <cell r="V81" t="str">
            <v>andamento</v>
          </cell>
        </row>
        <row r="82">
          <cell r="A82" t="str">
            <v>TOMADA DE PREÇOS Licitação: 008/2021</v>
          </cell>
          <cell r="B82" t="str">
            <v>SERVIÇOS DE IMPLANTAÇÃO DE PAVIMENTAÇÃO, DRENAGEM, ACESSIBILIDADE E SINALIZAÇÃO DA RUA FRANCISCO VITA TRECHO, ENTRE A AV. CAXANGA E A RUA ALAIDE LOCALIZADA NO BAIRRO DO CORDEIRO NA CIDADE DO RECIFE PE</v>
          </cell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 t="str">
            <v>11.481.173/0001-95</v>
          </cell>
          <cell r="H82" t="str">
            <v>ETNA ENGENHARIA E TERRAPLANAGEM NACIONAL LTDA</v>
          </cell>
          <cell r="I82" t="str">
            <v>6-062/21</v>
          </cell>
          <cell r="J82">
            <v>44607</v>
          </cell>
          <cell r="K82">
            <v>180</v>
          </cell>
          <cell r="L82">
            <v>836036.43</v>
          </cell>
          <cell r="N82">
            <v>330</v>
          </cell>
          <cell r="O82">
            <v>0</v>
          </cell>
          <cell r="P82">
            <v>79181.8</v>
          </cell>
          <cell r="Q82" t="str">
            <v>4.4.90.39</v>
          </cell>
          <cell r="R82">
            <v>368839.91</v>
          </cell>
          <cell r="T82">
            <v>0</v>
          </cell>
          <cell r="U82">
            <v>220483.53</v>
          </cell>
          <cell r="V82" t="str">
            <v>andamento</v>
          </cell>
        </row>
        <row r="83">
          <cell r="A83" t="str">
            <v>TOMADA DE PREÇOS Licitação: 004/2022</v>
          </cell>
          <cell r="B83" t="str">
            <v>CONTRATAÇÃO DE EMPRESA ESPECIALIZADA NO RAMO DE ENGENHARIA PARA EXECUÇÃO DOS SERVIÇOS DE IMPLEMENTAÇÃO DE PRAÇA PARA A INFÂNCIA NA PRAÇA DOM MIGUEL VALVERDE, ENCRUZILHADA - RECIFE/PE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 t="str">
            <v>08.135.535/0001-81</v>
          </cell>
          <cell r="H83" t="str">
            <v>CONSTRUTORA FJ LTDA</v>
          </cell>
          <cell r="I83" t="str">
            <v>6-062/22</v>
          </cell>
          <cell r="J83">
            <v>44840</v>
          </cell>
          <cell r="K83">
            <v>150</v>
          </cell>
          <cell r="L83">
            <v>1597706.7</v>
          </cell>
          <cell r="N83">
            <v>89</v>
          </cell>
          <cell r="O83">
            <v>396630.8</v>
          </cell>
          <cell r="P83">
            <v>0</v>
          </cell>
          <cell r="Q83" t="str">
            <v>4.4.90.39</v>
          </cell>
          <cell r="R83">
            <v>1523388.25</v>
          </cell>
          <cell r="T83">
            <v>1035654.97</v>
          </cell>
          <cell r="U83">
            <v>1523388.25</v>
          </cell>
          <cell r="V83" t="str">
            <v>andamento</v>
          </cell>
        </row>
        <row r="84">
          <cell r="A84" t="str">
            <v>CONCORRÊNCIA Licitação: 016/2021</v>
          </cell>
          <cell r="B84" t="str">
            <v>SERVIÇOS DE RECUPERAÇÃO ESTRUTURAL DA PONTE RODOVIÁRIA, DENOMINADA ANTIGA PONTE GIRATÓRIA, QUE LIGA O BAIRRO DE SÃO JOSÉ AO BAIRRO DO RECIFE NA CIDADE DO RECIFE - PE</v>
          </cell>
          <cell r="E84">
            <v>0</v>
          </cell>
          <cell r="F84">
            <v>0</v>
          </cell>
          <cell r="G84" t="str">
            <v>00.507.949/0001-82</v>
          </cell>
          <cell r="H84" t="str">
            <v>JATOBETON ENGENHARIA LTDA</v>
          </cell>
          <cell r="I84" t="str">
            <v>6-063/21</v>
          </cell>
          <cell r="J84">
            <v>44615</v>
          </cell>
          <cell r="K84">
            <v>645</v>
          </cell>
          <cell r="L84">
            <v>9469419.6300000008</v>
          </cell>
          <cell r="N84">
            <v>0</v>
          </cell>
          <cell r="O84">
            <v>982745.12</v>
          </cell>
          <cell r="P84">
            <v>-473152.28</v>
          </cell>
          <cell r="Q84" t="str">
            <v>4.4.90.39</v>
          </cell>
          <cell r="R84">
            <v>4963574.43</v>
          </cell>
          <cell r="T84">
            <v>1047727.24</v>
          </cell>
          <cell r="U84">
            <v>4963571.43</v>
          </cell>
          <cell r="V84" t="str">
            <v>andamento</v>
          </cell>
        </row>
        <row r="85">
          <cell r="A85" t="str">
            <v>CONCORRÊNCIA / Nº 013/2021</v>
          </cell>
          <cell r="B85" t="str">
            <v>CONTRATAÇÃO DE EMPRESA DE PRODUÇÃO DE ARTES E ILUMINAÇÃO CÊNICA PARA EXECUÇÃO DOS SERVIÇOS DE VÍDEO MAPPING E PROJEÇÃO HOLOGRÁFICA EM CORTINA D`ÁGUA NO RIO CAPIBARIBE</v>
          </cell>
          <cell r="C85">
            <v>0</v>
          </cell>
          <cell r="D85">
            <v>0</v>
          </cell>
          <cell r="E85">
            <v>0</v>
          </cell>
          <cell r="F85">
            <v>0</v>
          </cell>
          <cell r="G85" t="str">
            <v>20.165.281/0001-40</v>
          </cell>
          <cell r="H85" t="str">
            <v>TNP PRODUCOES DE EVENTOS LTDA</v>
          </cell>
          <cell r="I85" t="str">
            <v>6-064/21</v>
          </cell>
          <cell r="J85">
            <v>44559</v>
          </cell>
          <cell r="K85">
            <v>760</v>
          </cell>
          <cell r="L85">
            <v>2227129.66</v>
          </cell>
          <cell r="N85">
            <v>0</v>
          </cell>
          <cell r="O85">
            <v>237561.68</v>
          </cell>
          <cell r="P85">
            <v>0</v>
          </cell>
          <cell r="Q85" t="str">
            <v>4.4.90.39</v>
          </cell>
          <cell r="R85">
            <v>1637790.83</v>
          </cell>
          <cell r="T85">
            <v>427658.29</v>
          </cell>
          <cell r="U85">
            <v>1637790.83</v>
          </cell>
          <cell r="V85" t="str">
            <v>andamento</v>
          </cell>
        </row>
        <row r="86">
          <cell r="A86" t="str">
            <v>CONCORRÊNCIA Licitação: 001/2021</v>
          </cell>
          <cell r="B86" t="str">
            <v>CONTRATAÇÃO DE EMPRESA SANITÁRIA ESPECIALIZADA PARA A EXECUÇÃO DOS SERVIÇOS DE COLETA E LIMPEZA URBANA NO MUNICÍPIO DO RECIFE. LOTE 1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 t="str">
            <v>45.791.369/0001-06</v>
          </cell>
          <cell r="H86" t="str">
            <v>Consórcio Recife Ambiental</v>
          </cell>
          <cell r="I86" t="str">
            <v>6-064/22</v>
          </cell>
          <cell r="J86">
            <v>44649</v>
          </cell>
          <cell r="K86">
            <v>1825</v>
          </cell>
          <cell r="L86">
            <v>330511059.97000003</v>
          </cell>
          <cell r="N86">
            <v>0</v>
          </cell>
          <cell r="O86">
            <v>0</v>
          </cell>
          <cell r="P86">
            <v>23536035.850000001</v>
          </cell>
          <cell r="Q86" t="str">
            <v>3.3.90.39</v>
          </cell>
          <cell r="R86">
            <v>24949257.539999999</v>
          </cell>
          <cell r="T86">
            <v>15612100.17</v>
          </cell>
          <cell r="U86">
            <v>24949257.539999999</v>
          </cell>
          <cell r="V86" t="str">
            <v>andamento</v>
          </cell>
        </row>
        <row r="87">
          <cell r="A87" t="str">
            <v>CONCORRÊNCIA Licitação: 001/2021</v>
          </cell>
          <cell r="B87" t="str">
            <v>CONTRATAÇÃO DE EMPRESA SANITÁRIA ESPECIALIZADA PARA A EXECUÇÃO DOS SERVIÇOS DE COLETA E LIMPEZA URBANA NO MUNICÍPIO DO RECIFE. LOTE 2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 t="str">
            <v>45.791.369/0001-06</v>
          </cell>
          <cell r="H87" t="str">
            <v>Consórcio Recife Ambiental</v>
          </cell>
          <cell r="I87" t="str">
            <v>6-065/22</v>
          </cell>
          <cell r="J87">
            <v>44649</v>
          </cell>
          <cell r="K87">
            <v>1825</v>
          </cell>
          <cell r="L87">
            <v>775440867.03999996</v>
          </cell>
          <cell r="N87">
            <v>0</v>
          </cell>
          <cell r="O87">
            <v>0</v>
          </cell>
          <cell r="P87">
            <v>54841925.43</v>
          </cell>
          <cell r="Q87" t="str">
            <v>3.3.90.39</v>
          </cell>
          <cell r="R87">
            <v>64223433.380000003</v>
          </cell>
          <cell r="T87">
            <v>38986049</v>
          </cell>
          <cell r="U87">
            <v>63797834.390000001</v>
          </cell>
          <cell r="V87" t="str">
            <v>andamento</v>
          </cell>
        </row>
        <row r="88">
          <cell r="A88" t="str">
            <v>CONCORRÊNCIA Licitação: 018/2022</v>
          </cell>
          <cell r="B88" t="str">
            <v>CONTRATAÇÃO DE EMPRESA DE ENGENHARIA PARA PRESTAÇÃO DOS SERVIÇOS DE MANUTENÇÃO DO ENROCAMENTO DE PEDRAS DA PROTEÇÃO EXISTENTE NA ORLA DE BOA VIAGEM, RECIFE/PE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 t="str">
            <v>70.086.111/0001-48</v>
          </cell>
          <cell r="H88" t="str">
            <v>COASTAL - CONSTRUÇÕES E SOLUÇÕES TÉCNICAS AMBIENTAIS EIRELI</v>
          </cell>
          <cell r="I88" t="str">
            <v>6-066/22</v>
          </cell>
          <cell r="J88">
            <v>44855</v>
          </cell>
          <cell r="K88">
            <v>820</v>
          </cell>
          <cell r="L88">
            <v>4513103.68</v>
          </cell>
          <cell r="N88">
            <v>0</v>
          </cell>
          <cell r="O88">
            <v>0</v>
          </cell>
          <cell r="P88">
            <v>0</v>
          </cell>
          <cell r="Q88" t="str">
            <v>3.3.90.39</v>
          </cell>
          <cell r="R88">
            <v>661006.81000000006</v>
          </cell>
          <cell r="T88">
            <v>345638.19</v>
          </cell>
          <cell r="U88">
            <v>473519.86</v>
          </cell>
          <cell r="V88" t="str">
            <v>andamento</v>
          </cell>
        </row>
        <row r="89">
          <cell r="A89" t="str">
            <v>CONCORRÊNCIA Licitação: 019/2022</v>
          </cell>
          <cell r="B89" t="str">
            <v>SERVIÇOS DE MANUTENÇÃO PREVENTIVA (IMPLANTANÇÃO, REQUALIFICAÇÃO E/OU RECAPEAMENTO DE VIAS) EM CONCRETO BETUMINOSO USINADO À QUENTE - CBUQ DO SISTEMA VIÁRIO DA CIDADE DO RECIFE. LOTE I - RPA 01</v>
          </cell>
          <cell r="C89" t="str">
            <v>001/2022</v>
          </cell>
          <cell r="D89" t="str">
            <v>SEINFRA-PE</v>
          </cell>
          <cell r="E89">
            <v>45000000</v>
          </cell>
          <cell r="F89">
            <v>5000000</v>
          </cell>
          <cell r="G89" t="str">
            <v>40.882.060/0001-08</v>
          </cell>
          <cell r="H89" t="str">
            <v>LIDERMAC CONSTRUCOES E EQUIPAMENTOS LTDA</v>
          </cell>
          <cell r="I89" t="str">
            <v>6-069/22</v>
          </cell>
          <cell r="J89">
            <v>44861</v>
          </cell>
          <cell r="K89">
            <v>760</v>
          </cell>
          <cell r="L89">
            <v>35222846.310000002</v>
          </cell>
          <cell r="N89">
            <v>0</v>
          </cell>
          <cell r="O89">
            <v>2847136.5</v>
          </cell>
          <cell r="P89">
            <v>0</v>
          </cell>
          <cell r="Q89" t="str">
            <v>4.4.90.39</v>
          </cell>
          <cell r="R89">
            <v>12428837.16</v>
          </cell>
          <cell r="T89">
            <v>3272525.34</v>
          </cell>
          <cell r="U89">
            <v>7258434.1299999999</v>
          </cell>
          <cell r="V89" t="str">
            <v>andamento</v>
          </cell>
        </row>
        <row r="90">
          <cell r="A90" t="str">
            <v>CONCORRÊNCIA Licitação: 019/2022</v>
          </cell>
          <cell r="B90" t="str">
            <v>SERVIÇOS DE MANUTENÇÃO PREVENTIVA (IMPLANTANÇÃO, REQUALIFICAÇÃO E/OU RECAPEAMENTO DE VIAS) EM CONCRETO BETUMINOSO USINADO À QUENTE - CBUQ DO SISTEMA VIÁRIO DA CIDADE DO RECIFE LOTE II - RPA 02 E 03.</v>
          </cell>
          <cell r="C90" t="str">
            <v>001/2022</v>
          </cell>
          <cell r="D90" t="str">
            <v>SEINFRA-PE</v>
          </cell>
          <cell r="E90">
            <v>45000000</v>
          </cell>
          <cell r="F90">
            <v>5000000</v>
          </cell>
          <cell r="G90" t="str">
            <v>00.999.591/0001-52</v>
          </cell>
          <cell r="H90" t="str">
            <v xml:space="preserve">AGC CONSTRUTORA E EMPREENDIMENTOS LTDA      </v>
          </cell>
          <cell r="I90" t="str">
            <v>6-070/22</v>
          </cell>
          <cell r="J90">
            <v>44861</v>
          </cell>
          <cell r="K90">
            <v>760</v>
          </cell>
          <cell r="L90">
            <v>37890417.210000001</v>
          </cell>
          <cell r="N90">
            <v>0</v>
          </cell>
          <cell r="O90">
            <v>0</v>
          </cell>
          <cell r="P90">
            <v>0</v>
          </cell>
          <cell r="Q90" t="str">
            <v>4.4.90.39</v>
          </cell>
          <cell r="R90">
            <v>14879547.01</v>
          </cell>
          <cell r="T90">
            <v>7844197.1299999999</v>
          </cell>
          <cell r="U90">
            <v>10596971.129999999</v>
          </cell>
          <cell r="V90" t="str">
            <v>andamento</v>
          </cell>
        </row>
        <row r="91">
          <cell r="A91" t="str">
            <v>CONCORRÊNCIA Licitação: 019/2022</v>
          </cell>
          <cell r="B91" t="str">
            <v>SERVIÇOS DE MANUTENÇÃO PREVENTIVA (IMPLANTANÇÃO, REQUALIFICAÇÃO E/OU RECAPEAMENTO DE VIAS) EM CONCRETO BETUMINOSO USINADO À QUENTE - CBUQ DO SISTEMA VIÁRIO DA CIDADE DO RECIFE. LOTE III - RPA 04 E 05</v>
          </cell>
          <cell r="C91" t="str">
            <v>001/2022</v>
          </cell>
          <cell r="D91" t="str">
            <v>SEINFRA-PE</v>
          </cell>
          <cell r="E91">
            <v>45000000</v>
          </cell>
          <cell r="F91">
            <v>5000000</v>
          </cell>
          <cell r="G91" t="str">
            <v>23.742.620/0001-00</v>
          </cell>
          <cell r="H91" t="str">
            <v>INSTTALE ENGENHARIA LTDA</v>
          </cell>
          <cell r="I91" t="str">
            <v>6-071/22</v>
          </cell>
          <cell r="J91">
            <v>44861</v>
          </cell>
          <cell r="K91">
            <v>760</v>
          </cell>
          <cell r="L91">
            <v>52662087.729999997</v>
          </cell>
          <cell r="N91">
            <v>0</v>
          </cell>
          <cell r="O91">
            <v>0</v>
          </cell>
          <cell r="P91">
            <v>0</v>
          </cell>
          <cell r="Q91" t="str">
            <v>4.4.90.39</v>
          </cell>
          <cell r="R91">
            <v>18023512.759999998</v>
          </cell>
          <cell r="T91">
            <v>2504379.6100000003</v>
          </cell>
          <cell r="U91">
            <v>7830555.9900000002</v>
          </cell>
          <cell r="V91" t="str">
            <v>andamento</v>
          </cell>
        </row>
        <row r="92">
          <cell r="A92" t="str">
            <v>CONCORRÊNCIA Licitação: 019/2022</v>
          </cell>
          <cell r="B92" t="str">
            <v>SERVIÇOS DE MANUTENÇÃO PREVENTIVA (IMPLANTANÇÃO, REQUALIFICAÇÃO E/OU RECAPEAMENTO DE VIAS) EM CONCRETO BETUMINOSO USINADO À QUENTE - CBUQ DO SISTEMA VIÁRIO DA CIDADE DO RECIFE. LOTE IV - RPA 06</v>
          </cell>
          <cell r="C92" t="str">
            <v>001/2022</v>
          </cell>
          <cell r="D92" t="str">
            <v>SEINFRA-PE</v>
          </cell>
          <cell r="E92">
            <v>45000000</v>
          </cell>
          <cell r="F92">
            <v>5000000</v>
          </cell>
          <cell r="G92" t="str">
            <v>40.882.060/0001-08</v>
          </cell>
          <cell r="H92" t="str">
            <v>LIDERMAC CONSTRUCOES E EQUIPAMENTOS LTDA</v>
          </cell>
          <cell r="I92" t="str">
            <v>6-072/22</v>
          </cell>
          <cell r="J92">
            <v>44861</v>
          </cell>
          <cell r="K92">
            <v>760</v>
          </cell>
          <cell r="L92">
            <v>51009419.109999999</v>
          </cell>
          <cell r="N92">
            <v>0</v>
          </cell>
          <cell r="O92">
            <v>0</v>
          </cell>
          <cell r="P92">
            <v>0</v>
          </cell>
          <cell r="Q92" t="str">
            <v>4.4.90.39</v>
          </cell>
          <cell r="R92">
            <v>9232879.2599999998</v>
          </cell>
          <cell r="T92">
            <v>2691550.39</v>
          </cell>
          <cell r="U92">
            <v>5297700.46</v>
          </cell>
          <cell r="V92" t="str">
            <v>andamento</v>
          </cell>
        </row>
        <row r="93">
          <cell r="A93" t="str">
            <v>CONCORRÊNCIA Licitação: 020/2022</v>
          </cell>
          <cell r="B93" t="str">
            <v>SERVIÇOS DE MANUTENÇÃO CORRETIVA DE VIAS NÃO PAVIMENTADAS DO SISTEMA VIÁRIO DA CIDADE DO RECIFE/PE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 t="str">
            <v>40.884.405/0001-54</v>
          </cell>
          <cell r="H93" t="str">
            <v>LOQUIPE LOCACAO DE EQUIPAMENTOS E MAO DE OBRA LTDA</v>
          </cell>
          <cell r="I93" t="str">
            <v>6-073/22</v>
          </cell>
          <cell r="J93">
            <v>44869</v>
          </cell>
          <cell r="K93">
            <v>790</v>
          </cell>
          <cell r="L93">
            <v>3957846.15</v>
          </cell>
          <cell r="N93">
            <v>0</v>
          </cell>
          <cell r="O93">
            <v>0</v>
          </cell>
          <cell r="P93">
            <v>0</v>
          </cell>
          <cell r="Q93" t="str">
            <v>3.3.90.39</v>
          </cell>
          <cell r="R93">
            <v>556031.87</v>
          </cell>
          <cell r="T93">
            <v>297603.78000000003</v>
          </cell>
          <cell r="U93">
            <v>297603.78000000003</v>
          </cell>
          <cell r="V93" t="str">
            <v>andamento</v>
          </cell>
        </row>
        <row r="94">
          <cell r="A94" t="str">
            <v>TOMADA DE PREÇOS Licitação: 006/2022</v>
          </cell>
          <cell r="B94" t="str">
            <v>SERVIÇOS DE MANUTENÇÃO PREVENTIVA E CORRETIVA EM FONTES LUMINOSAS PÚBLICAS LOCALIZADAS NA CIDADE DO RECIFE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 t="str">
            <v>06.157.352/0001-31</v>
          </cell>
          <cell r="H94" t="str">
            <v>ROBERTO &amp; JAIR COMÉRCIO E SERVIÇOS LTDA-ME</v>
          </cell>
          <cell r="I94" t="str">
            <v>6-074/22</v>
          </cell>
          <cell r="J94">
            <v>44896</v>
          </cell>
          <cell r="K94">
            <v>790</v>
          </cell>
          <cell r="L94">
            <v>1292921.04</v>
          </cell>
          <cell r="N94">
            <v>0</v>
          </cell>
          <cell r="O94">
            <v>0</v>
          </cell>
          <cell r="P94">
            <v>0</v>
          </cell>
          <cell r="Q94" t="str">
            <v>3.3.90.39</v>
          </cell>
          <cell r="R94">
            <v>213315.27000000002</v>
          </cell>
          <cell r="T94">
            <v>110412.21</v>
          </cell>
          <cell r="U94">
            <v>213315.27000000002</v>
          </cell>
          <cell r="V94" t="str">
            <v>andamento</v>
          </cell>
        </row>
        <row r="95">
          <cell r="A95" t="str">
            <v>CONCORRÊNCIA Licitação: 008/2022</v>
          </cell>
          <cell r="B95" t="str">
            <v>SERVIÇOS DE RECUPERAÇÃO ESTRUTURAL DA PONTE SANTA ISABEL, QUE LIGA O BAIRRO DA BOA VISTA AO BAIRRO SANTO ANTÔNIO NA CIDADE DO RECIFE/PE (PONTE PRINCESA ISABEL)</v>
          </cell>
          <cell r="E95">
            <v>0</v>
          </cell>
          <cell r="F95">
            <v>0</v>
          </cell>
          <cell r="G95" t="str">
            <v>08.064.693/0001-98</v>
          </cell>
          <cell r="H95" t="str">
            <v>CONCREPOXI ENGENHARIA LTDA</v>
          </cell>
          <cell r="I95" t="str">
            <v>6-075/22</v>
          </cell>
          <cell r="J95">
            <v>44910</v>
          </cell>
          <cell r="K95">
            <v>645</v>
          </cell>
          <cell r="L95">
            <v>10636776.85</v>
          </cell>
          <cell r="N95">
            <v>0</v>
          </cell>
          <cell r="O95">
            <v>0</v>
          </cell>
          <cell r="P95">
            <v>0</v>
          </cell>
          <cell r="Q95" t="str">
            <v>4.4.90.39</v>
          </cell>
          <cell r="R95">
            <v>268324.73</v>
          </cell>
          <cell r="T95">
            <v>99784.53</v>
          </cell>
          <cell r="U95">
            <v>99784.53</v>
          </cell>
          <cell r="V95" t="str">
            <v>andamento</v>
          </cell>
        </row>
        <row r="96">
          <cell r="A96" t="str">
            <v>CONCORRÊNCIA Licitação: 015/2022</v>
          </cell>
          <cell r="B96" t="str">
            <v>CONTRATAÇÃO DE EMPRESA DE ENGENHARIA ESPECIALIZADA EM ILUMINAÇÃO PÚBLICA, PARA FORNECIMENTO E INSTALAÇÃO DE LUMINÁRIA COM TECNOLOGIA LED E REDE ELÉTRICA, PARA ILUMINAÇÃO PEDONAL DO POLÍGONO VIÁRIO DA AGAMENON MAGALHÃES, RECIFE-PE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 t="str">
            <v>03.834.750/0001-57</v>
          </cell>
          <cell r="H96" t="str">
            <v>EIP SERVICOS DE ILUMINACAO LTDA</v>
          </cell>
          <cell r="I96" t="str">
            <v>6-076/22</v>
          </cell>
          <cell r="J96">
            <v>44916</v>
          </cell>
          <cell r="K96">
            <v>790</v>
          </cell>
          <cell r="L96">
            <v>12692831.300000001</v>
          </cell>
          <cell r="N96">
            <v>0</v>
          </cell>
          <cell r="O96">
            <v>0</v>
          </cell>
          <cell r="P96">
            <v>0</v>
          </cell>
          <cell r="Q96" t="str">
            <v>4.4.90.39</v>
          </cell>
          <cell r="R96">
            <v>102779.05</v>
          </cell>
          <cell r="T96">
            <v>0</v>
          </cell>
          <cell r="U96">
            <v>0</v>
          </cell>
          <cell r="V96" t="str">
            <v>andamento</v>
          </cell>
        </row>
        <row r="97">
          <cell r="A97" t="str">
            <v>TOMADA DE PREÇOS Licitação: 005/2022</v>
          </cell>
          <cell r="B97" t="str">
            <v>SERVIÇOS DE MANUTENÇÃO E RECUPERAÇÃO AMBIENTAL DO ATERRO CONTROLADO DA MURIBECA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 t="str">
            <v>10.811.370/0001-62</v>
          </cell>
          <cell r="H97" t="str">
            <v>GUERRA CONSTRUCOES LTDA</v>
          </cell>
          <cell r="I97" t="str">
            <v>6-077/22</v>
          </cell>
          <cell r="J97">
            <v>44916</v>
          </cell>
          <cell r="K97">
            <v>790</v>
          </cell>
          <cell r="L97">
            <v>1116122.19</v>
          </cell>
          <cell r="N97">
            <v>0</v>
          </cell>
          <cell r="O97">
            <v>0</v>
          </cell>
          <cell r="P97">
            <v>0</v>
          </cell>
          <cell r="Q97" t="str">
            <v>3.3.90.39</v>
          </cell>
          <cell r="R97">
            <v>157449.28</v>
          </cell>
          <cell r="T97">
            <v>101974.35</v>
          </cell>
          <cell r="U97">
            <v>101974.35</v>
          </cell>
          <cell r="V97" t="str">
            <v>andamento</v>
          </cell>
        </row>
        <row r="98">
          <cell r="A98" t="str">
            <v>PREGÃO ELETRÔNICO Licitação: 044/2022</v>
          </cell>
          <cell r="B98" t="str">
            <v>SERVIÇOS DE ENGENHARIA DE BAIXA COMPLEXIDADE PARA O FECHAMENTO DE EDIFICAÇÕES E ÁREAS PÚBLICAS, COM TAPUMES DE MADEIRA, DURANTE O PERÍODO DE CARNAVAL DO ANO DE 2023, E RETIRADA APÓS ESTE PERÍODO, ONDE EXISTE RISCO DE DESABAMENTO E DEPEDRAÇÕES. LOTE I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 t="str">
            <v>06.157.352/0001-31</v>
          </cell>
          <cell r="H98" t="str">
            <v>ROBERTO &amp; JAIR COMÉRCIO E SERVIÇOS LTDA-ME</v>
          </cell>
          <cell r="I98" t="str">
            <v>6-078/22</v>
          </cell>
          <cell r="J98">
            <v>44923</v>
          </cell>
          <cell r="K98">
            <v>60</v>
          </cell>
          <cell r="L98">
            <v>339990</v>
          </cell>
          <cell r="N98">
            <v>0</v>
          </cell>
          <cell r="O98">
            <v>0</v>
          </cell>
          <cell r="P98">
            <v>0</v>
          </cell>
          <cell r="Q98" t="str">
            <v>3.3.90.39</v>
          </cell>
          <cell r="R98">
            <v>339989.71</v>
          </cell>
          <cell r="T98">
            <v>339989.71</v>
          </cell>
          <cell r="U98">
            <v>339989.71</v>
          </cell>
          <cell r="V98" t="str">
            <v>encerrado</v>
          </cell>
        </row>
        <row r="99">
          <cell r="A99" t="str">
            <v>PREGÃO ELETRÔNICO Licitação: 044/2022</v>
          </cell>
          <cell r="B99" t="str">
            <v>SERVIÇOS DE ENGENHARIA DE BAIXA COMPLEXIDADE PARA O FECHAMENTO DE EDIFICAÇÕES E ÁREAS PÚBLICAS, COM TAPUMES DE MADEIRA, DURANTE O PERÍODO DE CARNAVAL DO ANO DE 2023, E RETIRADA APÓS ESTE PERÍODO, ONDE EXISTE RISCO DE DESABAMENTO E DEPEDRAÇÕES. LOTE II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 t="str">
            <v>08.135.535/0001-81</v>
          </cell>
          <cell r="H99" t="str">
            <v>CONSTRUTORA FJ LTDA</v>
          </cell>
          <cell r="I99" t="str">
            <v>6-079/22</v>
          </cell>
          <cell r="J99">
            <v>44923</v>
          </cell>
          <cell r="K99">
            <v>60</v>
          </cell>
          <cell r="L99">
            <v>338899.99</v>
          </cell>
          <cell r="N99">
            <v>0</v>
          </cell>
          <cell r="O99">
            <v>0</v>
          </cell>
          <cell r="P99">
            <v>0</v>
          </cell>
          <cell r="Q99" t="str">
            <v>3.3.90.39</v>
          </cell>
          <cell r="R99">
            <v>338899.76</v>
          </cell>
          <cell r="T99">
            <v>338899.76</v>
          </cell>
          <cell r="U99">
            <v>338899.76</v>
          </cell>
          <cell r="V99" t="str">
            <v>encerrado</v>
          </cell>
        </row>
        <row r="100">
          <cell r="A100" t="str">
            <v>PREGÃO ELETRÔNICO Licitação: 044/2022</v>
          </cell>
          <cell r="B100" t="str">
            <v>SERVIÇOS DE ENGENHARIA DE BAIXA COMPLEXIDADE PARA O FECHAMENTO DE EDIFICAÇÕES E ÁREAS PÚBLICAS, COM TAPUMES DE MADEIRA, DURANTE O PERÍODO DE CARNAVAL DO ANO DE 2023, E RETIRADA APÓS ESTE PERÍODO, ONDE EXISTE RISCO DE DESABAMENTO E DEPEDRAÇÕES. LOTE III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 t="str">
            <v>10.811.370/0001-62</v>
          </cell>
          <cell r="H100" t="str">
            <v>GUERRA CONSTRUCOES LTDA</v>
          </cell>
          <cell r="I100" t="str">
            <v>6-080/22</v>
          </cell>
          <cell r="J100">
            <v>44923</v>
          </cell>
          <cell r="K100">
            <v>60</v>
          </cell>
          <cell r="L100">
            <v>435926.72</v>
          </cell>
          <cell r="N100">
            <v>0</v>
          </cell>
          <cell r="O100">
            <v>0</v>
          </cell>
          <cell r="P100">
            <v>0</v>
          </cell>
          <cell r="Q100" t="str">
            <v>3.3.90.39</v>
          </cell>
          <cell r="R100">
            <v>435714.04</v>
          </cell>
          <cell r="T100">
            <v>435714.04</v>
          </cell>
          <cell r="U100">
            <v>435714.04</v>
          </cell>
          <cell r="V100" t="str">
            <v>encerrado</v>
          </cell>
        </row>
        <row r="101">
          <cell r="A101" t="str">
            <v>CONCORRÊNCIA Licitação: 023/2022</v>
          </cell>
          <cell r="B101" t="str">
            <v>SERVIÇOS DE MANUTENÇÃO CORRETIVA (OPERAÇÃO TAPA BURACO) EM CONCRETO BETUMINOSO USINADO À QUENTE - CBUQ, EM CONCRETO PRÉ MISTURADO A FRIO - PMF, DO SISTEMA VIÁRIO DA CIDADE DO RECIFE. LOTE I, RPA 01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 t="str">
            <v>00.999.591/0001-52</v>
          </cell>
          <cell r="H101" t="str">
            <v xml:space="preserve">AGC CONSTRUTORA E EMPREENDIMENTOS LTDA      </v>
          </cell>
          <cell r="I101" t="str">
            <v>6-001/23</v>
          </cell>
          <cell r="J101">
            <v>44928</v>
          </cell>
          <cell r="K101">
            <v>1125</v>
          </cell>
          <cell r="L101">
            <v>14926062.529999999</v>
          </cell>
          <cell r="N101">
            <v>0</v>
          </cell>
          <cell r="O101">
            <v>0</v>
          </cell>
          <cell r="P101">
            <v>0</v>
          </cell>
          <cell r="Q101" t="str">
            <v>3.3.90.39</v>
          </cell>
          <cell r="R101">
            <v>286988.01</v>
          </cell>
          <cell r="T101">
            <v>135659.35</v>
          </cell>
          <cell r="U101">
            <v>135659.35</v>
          </cell>
          <cell r="V101" t="str">
            <v>andamento</v>
          </cell>
        </row>
        <row r="102">
          <cell r="A102" t="str">
            <v>CONCORRÊNCIA Licitação: 023/2022</v>
          </cell>
          <cell r="B102" t="str">
            <v>SERVIÇOS DE MANUTENÇÃO CORRETIVA (OPERAÇÃO TAPA BURACO) EM CONCRETO BETUMINOSO USINADO À QUENTE - CBUQ, EM CONCRETO PRÉ MISTURADO A FRIO - PMF, DO SISTEMA VIÁRIO DA CIDADE DO RECIFE. LOTE II - RPA 02 E 03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 t="str">
            <v>00.999.591/0001-52</v>
          </cell>
          <cell r="H102" t="str">
            <v xml:space="preserve">AGC CONSTRUTORA E EMPREENDIMENTOS LTDA      </v>
          </cell>
          <cell r="I102" t="str">
            <v>6-002/23</v>
          </cell>
          <cell r="J102">
            <v>44952</v>
          </cell>
          <cell r="K102">
            <v>1125</v>
          </cell>
          <cell r="L102">
            <v>18344816.460000001</v>
          </cell>
          <cell r="N102">
            <v>0</v>
          </cell>
          <cell r="O102">
            <v>0</v>
          </cell>
          <cell r="P102">
            <v>0</v>
          </cell>
          <cell r="Q102" t="str">
            <v>3.3.90.39</v>
          </cell>
          <cell r="R102">
            <v>571499.96</v>
          </cell>
          <cell r="T102">
            <v>226823.22</v>
          </cell>
          <cell r="U102">
            <v>226823.22</v>
          </cell>
          <cell r="V102" t="str">
            <v>andamento</v>
          </cell>
        </row>
        <row r="103">
          <cell r="A103" t="str">
            <v>CONCORRÊNCIA Licitação: 023/2022</v>
          </cell>
          <cell r="B103" t="str">
            <v>SERVIÇOS DE MANUTENÇÃO CORRETIVA (OPERAÇÃO TAPA BURACO) EM CONCRETO BETUMINOSO USINADO À QUENTE - CBUQ, EM CONCRETO PRÉ MISTURADO A FRIO - PMF, DO SISTEMA VIÁRIO DA CIDADE DO RECIFE. LOTE III - RPA 04 E 05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 t="str">
            <v>00.999.591/0001-52</v>
          </cell>
          <cell r="H103" t="str">
            <v xml:space="preserve">AGC CONSTRUTORA E EMPREENDIMENTOS LTDA      </v>
          </cell>
          <cell r="I103" t="str">
            <v>6-003/23</v>
          </cell>
          <cell r="J103">
            <v>44928</v>
          </cell>
          <cell r="K103">
            <v>1125</v>
          </cell>
          <cell r="L103">
            <v>23425634.329999998</v>
          </cell>
          <cell r="N103">
            <v>0</v>
          </cell>
          <cell r="O103">
            <v>0</v>
          </cell>
          <cell r="P103">
            <v>0</v>
          </cell>
          <cell r="Q103" t="str">
            <v>3.3.90.39</v>
          </cell>
          <cell r="R103">
            <v>842530.32</v>
          </cell>
          <cell r="T103">
            <v>198441.55</v>
          </cell>
          <cell r="U103">
            <v>198441.55</v>
          </cell>
          <cell r="V103" t="str">
            <v>andamento</v>
          </cell>
        </row>
        <row r="104">
          <cell r="A104" t="str">
            <v>CONCORRÊNCIA Licitação: 023/2022</v>
          </cell>
          <cell r="B104" t="str">
            <v>SERVIÇOS DE MANUTENÇÃO CORRETIVA (OPERAÇÃO TAPA BURACO) EM CONCRETO BETUMINOSO USINADO À QUENTE - CBUQ, EM CONCRETO PRÉ MISTURADO A FRIO - PMF, DO SISTEMA VIÁRIO DA CIDADE DO RECIFE. LOTE IV - RPA 06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 t="str">
            <v>40.882.060/0001-08</v>
          </cell>
          <cell r="H104" t="str">
            <v>LIDERMAC CONSTRUCOES E EQUIPAMENTOS LTDA</v>
          </cell>
          <cell r="I104" t="str">
            <v>6-004/23</v>
          </cell>
          <cell r="J104">
            <v>44952</v>
          </cell>
          <cell r="K104">
            <v>1125</v>
          </cell>
          <cell r="L104">
            <v>20802547.25</v>
          </cell>
          <cell r="N104">
            <v>0</v>
          </cell>
          <cell r="O104">
            <v>0</v>
          </cell>
          <cell r="P104">
            <v>0</v>
          </cell>
          <cell r="Q104" t="str">
            <v>3.3.90.39</v>
          </cell>
          <cell r="R104">
            <v>599639.1</v>
          </cell>
          <cell r="T104">
            <v>394094.75</v>
          </cell>
          <cell r="U104">
            <v>394094.75</v>
          </cell>
          <cell r="V104" t="str">
            <v>andamento</v>
          </cell>
        </row>
        <row r="105">
          <cell r="A105" t="str">
            <v>TOMADA DE PREÇOS Licitação: 008/2022</v>
          </cell>
          <cell r="B105" t="str">
            <v>IMPLEMENTAÇÃO DE PRAÇAS PARA A INFÂNCIA, NA PRAÇA SAN MARTIN E NO COMPAZ MIGUEL ARRAES DA CIDADE DO RECIFE</v>
          </cell>
          <cell r="E105">
            <v>0</v>
          </cell>
          <cell r="F105">
            <v>0</v>
          </cell>
          <cell r="G105" t="str">
            <v>08.135.535/0001-81</v>
          </cell>
          <cell r="H105" t="str">
            <v>CONSTRUTORA FJ LTDA</v>
          </cell>
          <cell r="I105" t="str">
            <v>6-006/23</v>
          </cell>
          <cell r="J105">
            <v>44998</v>
          </cell>
          <cell r="K105">
            <v>150</v>
          </cell>
          <cell r="L105">
            <v>1402393.67</v>
          </cell>
          <cell r="N105">
            <v>0</v>
          </cell>
          <cell r="Q105" t="str">
            <v>4.4.90.39</v>
          </cell>
          <cell r="T105">
            <v>0</v>
          </cell>
          <cell r="U105">
            <v>0</v>
          </cell>
        </row>
        <row r="107">
          <cell r="A107" t="str">
            <v>CONCORRÊNCIA Licitação: 022/2022</v>
          </cell>
          <cell r="B107" t="str">
            <v>EXECUÇÃO DE OBRAS DE IMPLANTAÇÃO DE DRENAGEM PLUVIAL E PAVIMENTAÇÃO DE RUAS DA CIDADE DO RECIFE, LOCALIZADAS NOS BAIRROS DE SÍTIO DOS PINTOS, BOA VIAGEM E POÇO DA PANELA.    LOTE I</v>
          </cell>
          <cell r="E107">
            <v>0</v>
          </cell>
          <cell r="F107">
            <v>0</v>
          </cell>
          <cell r="G107" t="str">
            <v>07.157.925/0001-90</v>
          </cell>
          <cell r="H107" t="str">
            <v>WB CONSTRUTORA LTDA</v>
          </cell>
          <cell r="I107" t="str">
            <v>6-009/23</v>
          </cell>
          <cell r="J107">
            <v>44967</v>
          </cell>
          <cell r="K107">
            <v>300</v>
          </cell>
          <cell r="L107">
            <v>5670580.4299999997</v>
          </cell>
          <cell r="N107">
            <v>0</v>
          </cell>
          <cell r="Q107" t="str">
            <v>4.4.90.39</v>
          </cell>
          <cell r="R107">
            <v>702007.92</v>
          </cell>
          <cell r="T107">
            <v>0</v>
          </cell>
          <cell r="U107">
            <v>0</v>
          </cell>
          <cell r="V107" t="str">
            <v>andamento</v>
          </cell>
        </row>
        <row r="108">
          <cell r="A108" t="str">
            <v>CONCORRÊNCIA Licitação: 022/2022</v>
          </cell>
          <cell r="B108" t="str">
            <v>EXECUÇÃO DE OBRAS DE IMPLANTAÇÃO DE DRENAGEM PLUVIAL E PAVIMENTAÇÃO DE RUAS DA CIDADE DO RECIFE, LOCALIZADAS NOS BAIRROS DE SÍTIO DOS PINTOS, BOA VIAGEM E POÇO DA PANELA.   LOTE II</v>
          </cell>
          <cell r="E108">
            <v>0</v>
          </cell>
          <cell r="F108">
            <v>0</v>
          </cell>
          <cell r="G108" t="str">
            <v>07.157.925/0001-90</v>
          </cell>
          <cell r="H108" t="str">
            <v>WB CONSTRUTORA LTDA</v>
          </cell>
          <cell r="I108" t="str">
            <v>6-010/23</v>
          </cell>
          <cell r="J108">
            <v>44967</v>
          </cell>
          <cell r="K108">
            <v>150</v>
          </cell>
          <cell r="L108">
            <v>891552.31</v>
          </cell>
          <cell r="N108">
            <v>0</v>
          </cell>
          <cell r="Q108" t="str">
            <v>4.4.90.39</v>
          </cell>
          <cell r="T108">
            <v>0</v>
          </cell>
          <cell r="U108">
            <v>0</v>
          </cell>
          <cell r="V108" t="str">
            <v>andamento</v>
          </cell>
        </row>
        <row r="109">
          <cell r="A109" t="str">
            <v>CONCORRÊNCIA Licitação: 025/2022</v>
          </cell>
          <cell r="B109" t="str">
            <v>EXECUÇÃO DOS SERVIÇOS DE IMPLANTAÇÃO DA REDE DE DRENAGEM DE ÁGUAS PLUVIAIS E PAVIMENTAÇÃO DE VIAS EM DIVERSAS RPA'S DA CIDADE DO RECIFE</v>
          </cell>
          <cell r="E109">
            <v>0</v>
          </cell>
          <cell r="F109">
            <v>0</v>
          </cell>
          <cell r="G109" t="str">
            <v>03.400.040/0001-19</v>
          </cell>
          <cell r="H109" t="str">
            <v>TOPEC EMPREENDIMENTOS E SERVICOS LTDA</v>
          </cell>
          <cell r="I109" t="str">
            <v>6-011/23</v>
          </cell>
          <cell r="J109">
            <v>44966</v>
          </cell>
          <cell r="K109">
            <v>210</v>
          </cell>
          <cell r="L109">
            <v>7809500.1100000003</v>
          </cell>
          <cell r="N109">
            <v>0</v>
          </cell>
          <cell r="Q109" t="str">
            <v>4.4.90.39</v>
          </cell>
          <cell r="T109">
            <v>0</v>
          </cell>
          <cell r="U109">
            <v>0</v>
          </cell>
          <cell r="V109" t="str">
            <v>andamento</v>
          </cell>
        </row>
        <row r="110">
          <cell r="A110" t="str">
            <v>PREGÃO ELETRÔNICO Licitação: 049/2022</v>
          </cell>
          <cell r="B110" t="str">
            <v>CONSTRUÇÃO DE MÓDULOS 44A, 49A E 68A (GAVETAS E OSSUÁRIOS) NO CEMITÉRIO DE SANTO AMARO – BAIRRO DE SANTO AMARO. (NÚMERO DE PROCESSO: 15.001238/2022-15)</v>
          </cell>
          <cell r="G110" t="str">
            <v>34.071.337/0001-01</v>
          </cell>
          <cell r="H110" t="str">
            <v>FONTE SOUTO CONSTRUÇÕES EIRELI</v>
          </cell>
          <cell r="I110" t="str">
            <v>6-012/23</v>
          </cell>
          <cell r="J110">
            <v>44971</v>
          </cell>
          <cell r="K110">
            <v>150</v>
          </cell>
          <cell r="L110">
            <v>289997.93</v>
          </cell>
          <cell r="N110">
            <v>0</v>
          </cell>
          <cell r="Q110" t="str">
            <v>4.4.90.39</v>
          </cell>
          <cell r="R110">
            <v>59546.82</v>
          </cell>
          <cell r="T110">
            <v>0</v>
          </cell>
          <cell r="U110">
            <v>0</v>
          </cell>
          <cell r="V110" t="str">
            <v>andamento</v>
          </cell>
        </row>
        <row r="111">
          <cell r="I111" t="str">
            <v>6-013/23</v>
          </cell>
          <cell r="N111">
            <v>0</v>
          </cell>
          <cell r="T111">
            <v>0</v>
          </cell>
          <cell r="U111">
            <v>0</v>
          </cell>
        </row>
        <row r="112">
          <cell r="I112" t="str">
            <v>6-015/23</v>
          </cell>
          <cell r="N112">
            <v>0</v>
          </cell>
          <cell r="T112">
            <v>0</v>
          </cell>
          <cell r="U112">
            <v>0</v>
          </cell>
        </row>
        <row r="113">
          <cell r="I113" t="str">
            <v>6-018/23</v>
          </cell>
          <cell r="N113">
            <v>0</v>
          </cell>
          <cell r="T113">
            <v>0</v>
          </cell>
          <cell r="U113">
            <v>0</v>
          </cell>
        </row>
        <row r="114">
          <cell r="I114" t="str">
            <v>6-019/23</v>
          </cell>
          <cell r="N114">
            <v>0</v>
          </cell>
          <cell r="T114">
            <v>0</v>
          </cell>
          <cell r="U114">
            <v>0</v>
          </cell>
        </row>
        <row r="115">
          <cell r="I115" t="str">
            <v>6-020/23</v>
          </cell>
          <cell r="N115">
            <v>0</v>
          </cell>
          <cell r="T115">
            <v>0</v>
          </cell>
          <cell r="U115">
            <v>0</v>
          </cell>
        </row>
        <row r="116">
          <cell r="I116" t="str">
            <v>6-021/23</v>
          </cell>
          <cell r="N116">
            <v>0</v>
          </cell>
          <cell r="T116">
            <v>0</v>
          </cell>
          <cell r="U116">
            <v>0</v>
          </cell>
        </row>
        <row r="117">
          <cell r="I117" t="str">
            <v>6-022/23</v>
          </cell>
          <cell r="N117">
            <v>0</v>
          </cell>
          <cell r="T117">
            <v>0</v>
          </cell>
          <cell r="U117">
            <v>0</v>
          </cell>
        </row>
        <row r="118">
          <cell r="I118" t="str">
            <v>6-023/23</v>
          </cell>
          <cell r="N118">
            <v>0</v>
          </cell>
          <cell r="T118">
            <v>0</v>
          </cell>
          <cell r="U118">
            <v>0</v>
          </cell>
        </row>
      </sheetData>
      <sheetData sheetId="1">
        <row r="8">
          <cell r="A8" t="str">
            <v>CONCORRÊNCIA / nº 014/2021</v>
          </cell>
        </row>
      </sheetData>
      <sheetData sheetId="2">
        <row r="8">
          <cell r="A8" t="str">
            <v>CONCORRÊNCIA / nº 014/2021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xmlns="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N142"/>
  <sheetViews>
    <sheetView tabSelected="1" topLeftCell="F1" workbookViewId="0">
      <selection activeCell="O8" sqref="O8"/>
    </sheetView>
  </sheetViews>
  <sheetFormatPr defaultColWidth="14.875" defaultRowHeight="14.25"/>
  <cols>
    <col min="1" max="1" width="19.125" bestFit="1" customWidth="1"/>
    <col min="2" max="2" width="53.25" customWidth="1"/>
    <col min="3" max="3" width="10" style="29" bestFit="1" customWidth="1"/>
    <col min="4" max="4" width="13.375" style="29" bestFit="1" customWidth="1"/>
    <col min="5" max="5" width="10.625" bestFit="1" customWidth="1"/>
    <col min="6" max="6" width="18.75" bestFit="1" customWidth="1"/>
    <col min="7" max="7" width="12.625" bestFit="1" customWidth="1"/>
    <col min="8" max="8" width="24.125" bestFit="1" customWidth="1"/>
    <col min="9" max="9" width="10" bestFit="1" customWidth="1"/>
    <col min="10" max="10" width="12.875" bestFit="1" customWidth="1"/>
    <col min="11" max="11" width="9.375" bestFit="1" customWidth="1"/>
    <col min="12" max="12" width="11" customWidth="1"/>
    <col min="13" max="13" width="12" customWidth="1"/>
    <col min="14" max="14" width="8.375" customWidth="1"/>
    <col min="15" max="15" width="11.875" customWidth="1"/>
    <col min="16" max="16" width="15.75" customWidth="1"/>
    <col min="17" max="17" width="9.625" customWidth="1"/>
    <col min="18" max="18" width="14.875" bestFit="1" customWidth="1"/>
    <col min="19" max="20" width="15.75" bestFit="1" customWidth="1"/>
    <col min="21" max="21" width="19.625" bestFit="1" customWidth="1"/>
    <col min="22" max="22" width="7.25" bestFit="1" customWidth="1"/>
    <col min="23" max="23" width="8" bestFit="1" customWidth="1"/>
    <col min="24" max="24" width="7.625" bestFit="1" customWidth="1"/>
    <col min="25" max="25" width="8" bestFit="1" customWidth="1"/>
    <col min="26" max="26" width="7.75" bestFit="1" customWidth="1"/>
  </cols>
  <sheetData>
    <row r="1" spans="1:40" s="1" customFormat="1" ht="11.25">
      <c r="A1" s="32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6"/>
    </row>
    <row r="2" spans="1:40" s="1" customFormat="1" ht="11.25">
      <c r="A2" s="32" t="s">
        <v>1</v>
      </c>
      <c r="B2" s="32"/>
      <c r="C2" s="32"/>
      <c r="D2" s="32"/>
      <c r="E2" s="32"/>
      <c r="F2" s="32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6"/>
    </row>
    <row r="3" spans="1:40" s="1" customFormat="1" ht="11.25">
      <c r="A3" s="32" t="s">
        <v>2</v>
      </c>
      <c r="B3" s="32"/>
      <c r="C3" s="32"/>
      <c r="D3" s="32"/>
      <c r="E3" s="32"/>
      <c r="F3" s="32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6"/>
    </row>
    <row r="4" spans="1:40" s="1" customFormat="1" ht="11.25">
      <c r="A4" s="2" t="s">
        <v>3</v>
      </c>
      <c r="B4" s="2"/>
      <c r="C4" s="3"/>
      <c r="D4" s="3"/>
      <c r="E4" s="4"/>
      <c r="F4" s="33"/>
      <c r="G4" s="33"/>
      <c r="H4" s="33"/>
      <c r="I4" s="5"/>
      <c r="J4" s="38" t="s">
        <v>163</v>
      </c>
      <c r="K4" s="38"/>
      <c r="L4" s="38"/>
      <c r="M4" s="38"/>
      <c r="N4" s="38"/>
      <c r="O4" s="38"/>
      <c r="P4" s="6"/>
      <c r="Q4" s="39" t="s">
        <v>163</v>
      </c>
      <c r="R4" s="39"/>
      <c r="S4" s="39"/>
      <c r="T4" s="39"/>
      <c r="U4" s="39"/>
      <c r="V4" s="40"/>
    </row>
    <row r="5" spans="1:40" s="1" customFormat="1" ht="11.25">
      <c r="A5" s="32" t="s">
        <v>4</v>
      </c>
      <c r="B5" s="32"/>
      <c r="C5" s="32"/>
      <c r="D5" s="3"/>
      <c r="E5" s="7"/>
      <c r="F5" s="33"/>
      <c r="G5" s="33"/>
      <c r="H5" s="33"/>
      <c r="I5" s="5"/>
      <c r="J5" s="34" t="s">
        <v>5</v>
      </c>
      <c r="K5" s="34"/>
      <c r="L5" s="34"/>
      <c r="M5" s="34"/>
      <c r="N5" s="34"/>
      <c r="O5" s="34"/>
      <c r="P5" s="8"/>
      <c r="Q5" s="33" t="s">
        <v>6</v>
      </c>
      <c r="R5" s="33"/>
      <c r="S5" s="33"/>
      <c r="T5" s="33"/>
      <c r="U5" s="33"/>
      <c r="V5" s="35"/>
      <c r="W5" s="9"/>
      <c r="X5" s="9"/>
      <c r="Y5" s="9"/>
      <c r="Z5" s="10">
        <v>45107</v>
      </c>
      <c r="AA5" s="11"/>
      <c r="AB5" s="11"/>
      <c r="AN5" s="11"/>
    </row>
    <row r="6" spans="1:40" s="9" customFormat="1" ht="11.25">
      <c r="A6" s="30" t="s">
        <v>7</v>
      </c>
      <c r="B6" s="30" t="s">
        <v>8</v>
      </c>
      <c r="C6" s="30" t="s">
        <v>9</v>
      </c>
      <c r="D6" s="30"/>
      <c r="E6" s="30"/>
      <c r="F6" s="30"/>
      <c r="G6" s="30" t="s">
        <v>10</v>
      </c>
      <c r="H6" s="30"/>
      <c r="I6" s="30" t="s">
        <v>11</v>
      </c>
      <c r="J6" s="30"/>
      <c r="K6" s="30"/>
      <c r="L6" s="30"/>
      <c r="M6" s="30"/>
      <c r="N6" s="30" t="s">
        <v>12</v>
      </c>
      <c r="O6" s="30"/>
      <c r="P6" s="12"/>
      <c r="Q6" s="30" t="s">
        <v>13</v>
      </c>
      <c r="R6" s="30"/>
      <c r="S6" s="30"/>
      <c r="T6" s="30"/>
      <c r="U6" s="30"/>
      <c r="V6" s="31" t="s">
        <v>14</v>
      </c>
      <c r="AA6" s="13"/>
      <c r="AB6" s="13"/>
      <c r="AN6" s="13"/>
    </row>
    <row r="7" spans="1:40" s="16" customFormat="1" ht="45">
      <c r="A7" s="30"/>
      <c r="B7" s="30"/>
      <c r="C7" s="14" t="s">
        <v>15</v>
      </c>
      <c r="D7" s="14" t="s">
        <v>16</v>
      </c>
      <c r="E7" s="14" t="s">
        <v>17</v>
      </c>
      <c r="F7" s="14" t="s">
        <v>18</v>
      </c>
      <c r="G7" s="12" t="s">
        <v>19</v>
      </c>
      <c r="H7" s="12" t="s">
        <v>20</v>
      </c>
      <c r="I7" s="12" t="s">
        <v>15</v>
      </c>
      <c r="J7" s="15" t="s">
        <v>21</v>
      </c>
      <c r="K7" s="12" t="s">
        <v>22</v>
      </c>
      <c r="L7" s="14" t="s">
        <v>23</v>
      </c>
      <c r="M7" s="15" t="s">
        <v>24</v>
      </c>
      <c r="N7" s="12" t="s">
        <v>25</v>
      </c>
      <c r="O7" s="14" t="s">
        <v>26</v>
      </c>
      <c r="P7" s="14" t="s">
        <v>27</v>
      </c>
      <c r="Q7" s="12" t="s">
        <v>28</v>
      </c>
      <c r="R7" s="14" t="s">
        <v>29</v>
      </c>
      <c r="S7" s="14" t="s">
        <v>30</v>
      </c>
      <c r="T7" s="14" t="s">
        <v>31</v>
      </c>
      <c r="U7" s="14" t="s">
        <v>32</v>
      </c>
      <c r="V7" s="31"/>
      <c r="AA7" s="17"/>
      <c r="AB7" s="17"/>
      <c r="AN7" s="17"/>
    </row>
    <row r="8" spans="1:40" ht="45">
      <c r="A8" s="18" t="str">
        <f>'[1]1º TRIMESTRE'!A8</f>
        <v>CONCORRÊNCIA / nº 014/2021</v>
      </c>
      <c r="B8" s="18" t="str">
        <f>'[1]1º TRIMESTRE'!B8</f>
        <v>CONTRATAÇÃO DE EMPRESA DE ENGENHARIA, ESPECIALIZADA EM ILUMINAÇÃO PÚBLICA, PARA FORNECIMENTO E INSTALAÇÃO DE LUMINÁRIAS COM TECNOLOGIA LED RGB E REDE ELÉTRICA, PARA ILUMINAÇÃO CÊNICA DO PARQUE DONA LINDU, BOA VIAGEM</v>
      </c>
      <c r="C8" s="19" t="str">
        <f>'[1]1º TRIMESTRE'!C8</f>
        <v>532561/2020</v>
      </c>
      <c r="D8" s="20" t="str">
        <f>'[1]1º TRIMESTRE'!D8</f>
        <v>FINISA</v>
      </c>
      <c r="E8" s="21">
        <f>'[1]1º TRIMESTRE'!E8</f>
        <v>50000000</v>
      </c>
      <c r="F8" s="21">
        <f>'[1]1º TRIMESTRE'!F8</f>
        <v>0</v>
      </c>
      <c r="G8" s="18" t="str">
        <f>'[1]1º TRIMESTRE'!G8</f>
        <v>03.834.750/0001-57</v>
      </c>
      <c r="H8" s="18" t="str">
        <f>'[1]1º TRIMESTRE'!H8</f>
        <v>EIP SERVICOS DE ILUMINACAO LTDA</v>
      </c>
      <c r="I8" s="19" t="str">
        <f>'[1]1º TRIMESTRE'!I8</f>
        <v>6-001/22</v>
      </c>
      <c r="J8" s="22">
        <f>'[1]1º TRIMESTRE'!J8</f>
        <v>44599</v>
      </c>
      <c r="K8" s="19">
        <f>'[1]1º TRIMESTRE'!K8</f>
        <v>150</v>
      </c>
      <c r="L8" s="21">
        <f>'[1]1º TRIMESTRE'!L8</f>
        <v>2245061.8199999998</v>
      </c>
      <c r="M8" s="22">
        <f>J8+K8+N8</f>
        <v>44959</v>
      </c>
      <c r="N8" s="19">
        <f>'[1]1º TRIMESTRE'!N8</f>
        <v>210</v>
      </c>
      <c r="O8" s="21">
        <f>'[1]1º TRIMESTRE'!O8</f>
        <v>444638.12</v>
      </c>
      <c r="P8" s="21">
        <f>'[1]1º TRIMESTRE'!P8</f>
        <v>0</v>
      </c>
      <c r="Q8" s="19" t="str">
        <f>'[1]1º TRIMESTRE'!Q8</f>
        <v>4.4.90.39</v>
      </c>
      <c r="R8" s="21">
        <f>'[1]1º TRIMESTRE'!R8</f>
        <v>2689644.17</v>
      </c>
      <c r="S8" s="21">
        <v>0</v>
      </c>
      <c r="T8" s="21">
        <f>'[1]1º TRIMESTRE'!T8+S8</f>
        <v>0</v>
      </c>
      <c r="U8" s="21">
        <f>'[1]1º TRIMESTRE'!U8+S8</f>
        <v>2689644.17</v>
      </c>
      <c r="V8" s="23" t="str">
        <f>'[1]1º TRIMESTRE'!V8</f>
        <v>encerrado</v>
      </c>
      <c r="W8" s="24">
        <f>U8-R8</f>
        <v>0</v>
      </c>
      <c r="X8" s="24"/>
      <c r="Y8" s="24">
        <f>X8+W8</f>
        <v>0</v>
      </c>
      <c r="Z8" s="25" t="str">
        <f>IF(M8&gt;$Z$5,"and","enc")</f>
        <v>enc</v>
      </c>
    </row>
    <row r="9" spans="1:40" ht="22.5">
      <c r="A9" s="18" t="str">
        <f>'[1]1º TRIMESTRE'!A9</f>
        <v>CONCORRÊNCIA / nº 012/2020</v>
      </c>
      <c r="B9" s="18" t="str">
        <f>'[1]1º TRIMESTRE'!B9</f>
        <v>CONTRATACAO DOS SERVICOS DE LIMPEZA E MANUTENCAO DO SISTEMA DE MICRODRENAGEM DE AGUAS PLUVIAIS DO MUNICIPIO DO RECIFE RPA 02 E 03</v>
      </c>
      <c r="C9" s="19">
        <f>'[1]1º TRIMESTRE'!C9</f>
        <v>0</v>
      </c>
      <c r="D9" s="20">
        <f>'[1]1º TRIMESTRE'!D9</f>
        <v>0</v>
      </c>
      <c r="E9" s="21">
        <f>'[1]1º TRIMESTRE'!E9</f>
        <v>0</v>
      </c>
      <c r="F9" s="21">
        <f>'[1]1º TRIMESTRE'!F9</f>
        <v>0</v>
      </c>
      <c r="G9" s="18" t="str">
        <f>'[1]1º TRIMESTRE'!G9</f>
        <v>07.693.988/0001-60</v>
      </c>
      <c r="H9" s="18" t="str">
        <f>'[1]1º TRIMESTRE'!H9</f>
        <v>F R F ENGENHARIA LTDA</v>
      </c>
      <c r="I9" s="19" t="str">
        <f>'[1]1º TRIMESTRE'!I9</f>
        <v>6-002/21</v>
      </c>
      <c r="J9" s="22">
        <f>'[1]1º TRIMESTRE'!J9</f>
        <v>44204</v>
      </c>
      <c r="K9" s="19">
        <f>'[1]1º TRIMESTRE'!K9</f>
        <v>1125</v>
      </c>
      <c r="L9" s="21">
        <f>'[1]1º TRIMESTRE'!L9</f>
        <v>17543900.190000001</v>
      </c>
      <c r="M9" s="22">
        <f t="shared" ref="M9:M72" si="0">J9+K9+N9</f>
        <v>45329</v>
      </c>
      <c r="N9" s="19">
        <f>'[1]1º TRIMESTRE'!N9</f>
        <v>0</v>
      </c>
      <c r="O9" s="21">
        <f>'[1]1º TRIMESTRE'!O9</f>
        <v>4739810.3600000003</v>
      </c>
      <c r="P9" s="21">
        <f>'[1]1º TRIMESTRE'!P9</f>
        <v>0</v>
      </c>
      <c r="Q9" s="19" t="str">
        <f>'[1]1º TRIMESTRE'!Q9</f>
        <v>3.3.90.39</v>
      </c>
      <c r="R9" s="21">
        <f>'[1]1º TRIMESTRE'!R9+1525571.17</f>
        <v>14012678.93</v>
      </c>
      <c r="S9" s="21">
        <v>1458572.26</v>
      </c>
      <c r="T9" s="21">
        <f>'[1]1º TRIMESTRE'!T9+S9</f>
        <v>2350739.44</v>
      </c>
      <c r="U9" s="21">
        <f>'[1]1º TRIMESTRE'!U9+S9</f>
        <v>13462328.379999999</v>
      </c>
      <c r="V9" s="23" t="str">
        <f>'[1]1º TRIMESTRE'!V9</f>
        <v>andamento</v>
      </c>
      <c r="W9" s="24">
        <f t="shared" ref="W9:W72" si="1">U9-R9</f>
        <v>-550350.55000000075</v>
      </c>
      <c r="X9" s="24">
        <v>550350.54999999993</v>
      </c>
      <c r="Y9" s="24">
        <f t="shared" ref="Y9:Y72" si="2">X9+W9</f>
        <v>0</v>
      </c>
      <c r="Z9" s="25" t="str">
        <f t="shared" ref="Z9:Z72" si="3">IF(M9&gt;$Z$5,"and","enc")</f>
        <v>and</v>
      </c>
    </row>
    <row r="10" spans="1:40" ht="22.5">
      <c r="A10" s="18" t="str">
        <f>'[1]1º TRIMESTRE'!A10</f>
        <v>CONCORRÊNCIA / nº 012/2021</v>
      </c>
      <c r="B10" s="18" t="str">
        <f>'[1]1º TRIMESTRE'!B10</f>
        <v>CONTRATAÇÃO DE EMPRESA DE ENGENHARIA, ESPECIALIZADA EM ILUMINAÇÃO PÚBLICA, PARA SERVIÇOS DE APOIO TÉCNICO PARA CIDADE DO RECIFE.</v>
      </c>
      <c r="C10" s="19">
        <f>'[1]1º TRIMESTRE'!C10</f>
        <v>0</v>
      </c>
      <c r="D10" s="20">
        <f>'[1]1º TRIMESTRE'!D10</f>
        <v>0</v>
      </c>
      <c r="E10" s="21">
        <f>'[1]1º TRIMESTRE'!E10</f>
        <v>0</v>
      </c>
      <c r="F10" s="21">
        <f>'[1]1º TRIMESTRE'!F10</f>
        <v>0</v>
      </c>
      <c r="G10" s="18" t="str">
        <f>'[1]1º TRIMESTRE'!G10</f>
        <v>03.834.750/0001-57</v>
      </c>
      <c r="H10" s="18" t="str">
        <f>'[1]1º TRIMESTRE'!H10</f>
        <v>EIP SERVICOS DE ILUMINACAO LTDA</v>
      </c>
      <c r="I10" s="19" t="str">
        <f>'[1]1º TRIMESTRE'!I10</f>
        <v>6-002/22</v>
      </c>
      <c r="J10" s="22">
        <f>'[1]1º TRIMESTRE'!J10</f>
        <v>44589</v>
      </c>
      <c r="K10" s="19">
        <f>'[1]1º TRIMESTRE'!K10</f>
        <v>760</v>
      </c>
      <c r="L10" s="21">
        <f>'[1]1º TRIMESTRE'!L10</f>
        <v>1418802</v>
      </c>
      <c r="M10" s="22">
        <f t="shared" si="0"/>
        <v>45349</v>
      </c>
      <c r="N10" s="19">
        <f>'[1]1º TRIMESTRE'!N10</f>
        <v>0</v>
      </c>
      <c r="O10" s="21">
        <f>'[1]1º TRIMESTRE'!O10</f>
        <v>353919.51</v>
      </c>
      <c r="P10" s="21">
        <f>'[1]1º TRIMESTRE'!P10+159554.8</f>
        <v>159554.79999999999</v>
      </c>
      <c r="Q10" s="19" t="str">
        <f>'[1]1º TRIMESTRE'!Q10</f>
        <v>3.3.90.39</v>
      </c>
      <c r="R10" s="21">
        <f>'[1]1º TRIMESTRE'!R10+378025.59</f>
        <v>1300388.3600000001</v>
      </c>
      <c r="S10" s="21">
        <v>249336.76</v>
      </c>
      <c r="T10" s="21">
        <f>'[1]1º TRIMESTRE'!T10+S10</f>
        <v>320017.89</v>
      </c>
      <c r="U10" s="21">
        <f>'[1]1º TRIMESTRE'!U10+S10</f>
        <v>1089755.53</v>
      </c>
      <c r="V10" s="23" t="str">
        <f>'[1]1º TRIMESTRE'!V10</f>
        <v>andamento</v>
      </c>
      <c r="W10" s="24">
        <f t="shared" si="1"/>
        <v>-210632.83000000007</v>
      </c>
      <c r="X10" s="24">
        <v>105493.6</v>
      </c>
      <c r="Y10" s="24">
        <f t="shared" si="2"/>
        <v>-105139.23000000007</v>
      </c>
      <c r="Z10" s="25" t="str">
        <f t="shared" si="3"/>
        <v>and</v>
      </c>
    </row>
    <row r="11" spans="1:40" ht="33.75">
      <c r="A11" s="18" t="str">
        <f>'[1]1º TRIMESTRE'!A11</f>
        <v>CONCORRÊNCIA / nº 008/2021</v>
      </c>
      <c r="B11" s="18" t="str">
        <f>'[1]1º TRIMESTRE'!B11</f>
        <v>CONTRATAÇÃO DE EMPRESA DE ENGENHARIA, ESPECIALIZADA EM ILUMINAÇÃO PÚBLICA, PARA EXECUÇÃO DA MANUTENÇÃO, PREVENTIVA E CORRETIVA, DO SISTEMA DE ILUMINAÇÃO CÊNICA DA CIDADE DO RECIFE</v>
      </c>
      <c r="C11" s="19" t="str">
        <f>'[1]1º TRIMESTRE'!C11</f>
        <v>532561/2020</v>
      </c>
      <c r="D11" s="20" t="str">
        <f>'[1]1º TRIMESTRE'!D11</f>
        <v>FINISA</v>
      </c>
      <c r="E11" s="21">
        <f>'[1]1º TRIMESTRE'!E11</f>
        <v>50000000</v>
      </c>
      <c r="F11" s="21">
        <f>'[1]1º TRIMESTRE'!F11</f>
        <v>0</v>
      </c>
      <c r="G11" s="18" t="str">
        <f>'[1]1º TRIMESTRE'!G11</f>
        <v>03.834.750/0001-57</v>
      </c>
      <c r="H11" s="18" t="str">
        <f>'[1]1º TRIMESTRE'!H11</f>
        <v>EIP SERVICOS DE ILUMINACAO LTDA</v>
      </c>
      <c r="I11" s="19" t="str">
        <f>'[1]1º TRIMESTRE'!I11</f>
        <v>6-003/22</v>
      </c>
      <c r="J11" s="22">
        <f>'[1]1º TRIMESTRE'!J11</f>
        <v>44589</v>
      </c>
      <c r="K11" s="19">
        <f>'[1]1º TRIMESTRE'!K11</f>
        <v>760</v>
      </c>
      <c r="L11" s="21">
        <f>'[1]1º TRIMESTRE'!L11</f>
        <v>3730846.67</v>
      </c>
      <c r="M11" s="22">
        <f t="shared" si="0"/>
        <v>45349</v>
      </c>
      <c r="N11" s="19">
        <f>'[1]1º TRIMESTRE'!N11</f>
        <v>0</v>
      </c>
      <c r="O11" s="21">
        <f>'[1]1º TRIMESTRE'!O11</f>
        <v>750887.05</v>
      </c>
      <c r="P11" s="21">
        <f>'[1]1º TRIMESTRE'!P11</f>
        <v>0</v>
      </c>
      <c r="Q11" s="19" t="str">
        <f>'[1]1º TRIMESTRE'!Q11</f>
        <v>4.4.90.39</v>
      </c>
      <c r="R11" s="21">
        <f>'[1]1º TRIMESTRE'!R11+160564.09</f>
        <v>3306961.98</v>
      </c>
      <c r="S11" s="21">
        <v>317755.34999999998</v>
      </c>
      <c r="T11" s="21">
        <f>'[1]1º TRIMESTRE'!T11+S11</f>
        <v>473291.73</v>
      </c>
      <c r="U11" s="21">
        <f>'[1]1º TRIMESTRE'!U11+S11</f>
        <v>3306961.98</v>
      </c>
      <c r="V11" s="23" t="str">
        <f>'[1]1º TRIMESTRE'!V11</f>
        <v>andamento</v>
      </c>
      <c r="W11" s="24">
        <f t="shared" si="1"/>
        <v>0</v>
      </c>
      <c r="X11" s="24"/>
      <c r="Y11" s="24">
        <f t="shared" si="2"/>
        <v>0</v>
      </c>
      <c r="Z11" s="25" t="str">
        <f t="shared" si="3"/>
        <v>and</v>
      </c>
    </row>
    <row r="12" spans="1:40" ht="45">
      <c r="A12" s="18" t="str">
        <f>'[1]1º TRIMESTRE'!A12</f>
        <v>CONCORRÊNCIA / nº 014/2020</v>
      </c>
      <c r="B12" s="18" t="str">
        <f>'[1]1º TRIMESTRE'!B12</f>
        <v>CONTRATACAO DE EMPRESA DE ENGENHARIA PARA REALIZACAO DE MANUTENCAO PREVENTIVA E CORRETIVA DO SISTEMA DE ILUMINACAO PUBLICA CONVENCIONAL DAS RPAS DO MUNICIPIO DO RECIFE. EM POSTES COM ATE 12 METROS DE ALTURA LOTE I. RPA 1 E 6</v>
      </c>
      <c r="C12" s="19">
        <f>'[1]1º TRIMESTRE'!C12</f>
        <v>0</v>
      </c>
      <c r="D12" s="20">
        <f>'[1]1º TRIMESTRE'!D12</f>
        <v>0</v>
      </c>
      <c r="E12" s="21">
        <f>'[1]1º TRIMESTRE'!E12</f>
        <v>0</v>
      </c>
      <c r="F12" s="21">
        <f>'[1]1º TRIMESTRE'!F12</f>
        <v>0</v>
      </c>
      <c r="G12" s="18" t="str">
        <f>'[1]1º TRIMESTRE'!G12</f>
        <v>03.834.750/0001-57</v>
      </c>
      <c r="H12" s="18" t="str">
        <f>'[1]1º TRIMESTRE'!H12</f>
        <v>EIP SERVICOS DE ILUMINACAO LTDA</v>
      </c>
      <c r="I12" s="19" t="str">
        <f>'[1]1º TRIMESTRE'!I12</f>
        <v>6-004/21</v>
      </c>
      <c r="J12" s="22">
        <f>'[1]1º TRIMESTRE'!J12</f>
        <v>44270</v>
      </c>
      <c r="K12" s="19">
        <f>'[1]1º TRIMESTRE'!K12</f>
        <v>790</v>
      </c>
      <c r="L12" s="21">
        <f>'[1]1º TRIMESTRE'!L12</f>
        <v>1459741.65</v>
      </c>
      <c r="M12" s="22">
        <f t="shared" si="0"/>
        <v>45060</v>
      </c>
      <c r="N12" s="19">
        <f>'[1]1º TRIMESTRE'!N12</f>
        <v>0</v>
      </c>
      <c r="O12" s="21">
        <f>'[1]1º TRIMESTRE'!O12</f>
        <v>271913.86</v>
      </c>
      <c r="P12" s="21">
        <f>'[1]1º TRIMESTRE'!P12</f>
        <v>224737.52</v>
      </c>
      <c r="Q12" s="19" t="str">
        <f>'[1]1º TRIMESTRE'!Q12</f>
        <v>3.3.90.39</v>
      </c>
      <c r="R12" s="21">
        <f>'[1]1º TRIMESTRE'!R12</f>
        <v>1761463.7599999998</v>
      </c>
      <c r="S12" s="21">
        <v>138856.35999999999</v>
      </c>
      <c r="T12" s="21">
        <f>'[1]1º TRIMESTRE'!T12+S12</f>
        <v>195623.37999999998</v>
      </c>
      <c r="U12" s="21">
        <f>'[1]1º TRIMESTRE'!U12+S12</f>
        <v>1761463.7599999998</v>
      </c>
      <c r="V12" s="23" t="str">
        <f>'[1]1º TRIMESTRE'!V12</f>
        <v>andamento</v>
      </c>
      <c r="W12" s="24" t="s">
        <v>33</v>
      </c>
      <c r="X12" s="24"/>
      <c r="Y12" s="24" t="e">
        <f t="shared" si="2"/>
        <v>#VALUE!</v>
      </c>
      <c r="Z12" s="25" t="str">
        <f t="shared" si="3"/>
        <v>enc</v>
      </c>
    </row>
    <row r="13" spans="1:40" ht="45">
      <c r="A13" s="18" t="str">
        <f>'[1]1º TRIMESTRE'!A13</f>
        <v>CONCORRÊNCIA / nº 014/2020</v>
      </c>
      <c r="B13" s="18" t="str">
        <f>'[1]1º TRIMESTRE'!B13</f>
        <v>CONTRATACAO DE EMPRESA DE ENGENHARIA PARA REALIZACAO DE MANUTENCAO PREVENTIVA E CORRETIVA DO SISTEMA DE ILUMINACAO PUBLICA CONVENCIONAL DAS RPAS DO MUNICIPIO DO RECIFE. EM POSTES COM ATE 12 METROS DE ALTURA LOTE II RPA 2 E 3</v>
      </c>
      <c r="C13" s="19">
        <f>'[1]1º TRIMESTRE'!C13</f>
        <v>0</v>
      </c>
      <c r="D13" s="20">
        <f>'[1]1º TRIMESTRE'!D13</f>
        <v>0</v>
      </c>
      <c r="E13" s="21">
        <f>'[1]1º TRIMESTRE'!E13</f>
        <v>0</v>
      </c>
      <c r="F13" s="21">
        <f>'[1]1º TRIMESTRE'!F13</f>
        <v>0</v>
      </c>
      <c r="G13" s="18" t="str">
        <f>'[1]1º TRIMESTRE'!G13</f>
        <v>03.834.750/0001-57</v>
      </c>
      <c r="H13" s="18" t="str">
        <f>'[1]1º TRIMESTRE'!H13</f>
        <v>EIP SERVICOS DE ILUMINACAO LTDA</v>
      </c>
      <c r="I13" s="19" t="str">
        <f>'[1]1º TRIMESTRE'!I13</f>
        <v>6-005/21</v>
      </c>
      <c r="J13" s="22">
        <f>'[1]1º TRIMESTRE'!J13</f>
        <v>44270</v>
      </c>
      <c r="K13" s="19">
        <f>'[1]1º TRIMESTRE'!K13</f>
        <v>790</v>
      </c>
      <c r="L13" s="21">
        <f>'[1]1º TRIMESTRE'!L13</f>
        <v>1589764.85</v>
      </c>
      <c r="M13" s="22">
        <f t="shared" si="0"/>
        <v>45060</v>
      </c>
      <c r="N13" s="19">
        <f>'[1]1º TRIMESTRE'!N13</f>
        <v>0</v>
      </c>
      <c r="O13" s="21">
        <f>'[1]1º TRIMESTRE'!O13</f>
        <v>337768.38</v>
      </c>
      <c r="P13" s="21">
        <f>'[1]1º TRIMESTRE'!P13</f>
        <v>248860.86</v>
      </c>
      <c r="Q13" s="19" t="str">
        <f>'[1]1º TRIMESTRE'!Q13</f>
        <v>3.3.90.39</v>
      </c>
      <c r="R13" s="21">
        <f>'[1]1º TRIMESTRE'!R13</f>
        <v>1974076.76</v>
      </c>
      <c r="S13" s="21">
        <v>120665.95</v>
      </c>
      <c r="T13" s="21">
        <f>'[1]1º TRIMESTRE'!T13+S13</f>
        <v>194815.22999999998</v>
      </c>
      <c r="U13" s="21">
        <f>'[1]1º TRIMESTRE'!U13+S13</f>
        <v>1974076.76</v>
      </c>
      <c r="V13" s="23" t="str">
        <f>'[1]1º TRIMESTRE'!V13</f>
        <v>andamento</v>
      </c>
      <c r="W13" s="24">
        <f t="shared" si="1"/>
        <v>0</v>
      </c>
      <c r="X13" s="24"/>
      <c r="Y13" s="24">
        <f t="shared" si="2"/>
        <v>0</v>
      </c>
      <c r="Z13" s="25" t="str">
        <f t="shared" si="3"/>
        <v>enc</v>
      </c>
    </row>
    <row r="14" spans="1:40" ht="33.75">
      <c r="A14" s="18" t="str">
        <f>'[1]1º TRIMESTRE'!A14</f>
        <v>CONCORRÊNCIA / nº 014/2020</v>
      </c>
      <c r="B14" s="18" t="str">
        <f>'[1]1º TRIMESTRE'!B14</f>
        <v>CONTRATAÇÃO DE EMPRESA DE ENGENHARIA PARA REALIZAÇÃO DE MANUTENÇÃO PREVENTIVA E CORRETIVA DO SISTEMA DE ILUMINAÇÃO PUBLICA CONVENCIONAL DAS RPAS DO RECIFE LOTE III RPA  4 E 5</v>
      </c>
      <c r="C14" s="19">
        <f>'[1]1º TRIMESTRE'!C14</f>
        <v>0</v>
      </c>
      <c r="D14" s="20">
        <f>'[1]1º TRIMESTRE'!D14</f>
        <v>0</v>
      </c>
      <c r="E14" s="21">
        <f>'[1]1º TRIMESTRE'!E14</f>
        <v>0</v>
      </c>
      <c r="F14" s="21">
        <f>'[1]1º TRIMESTRE'!F14</f>
        <v>0</v>
      </c>
      <c r="G14" s="18" t="str">
        <f>'[1]1º TRIMESTRE'!G14</f>
        <v>03.834.750/0001-57</v>
      </c>
      <c r="H14" s="18" t="str">
        <f>'[1]1º TRIMESTRE'!H14</f>
        <v>EIP SERVICOS DE ILUMINACAO LTDA</v>
      </c>
      <c r="I14" s="19" t="str">
        <f>'[1]1º TRIMESTRE'!I14</f>
        <v>6-006/21</v>
      </c>
      <c r="J14" s="22">
        <f>'[1]1º TRIMESTRE'!J14</f>
        <v>44270</v>
      </c>
      <c r="K14" s="19">
        <f>'[1]1º TRIMESTRE'!K14</f>
        <v>790</v>
      </c>
      <c r="L14" s="21">
        <f>'[1]1º TRIMESTRE'!L14</f>
        <v>1435226.94</v>
      </c>
      <c r="M14" s="22">
        <f t="shared" si="0"/>
        <v>45060</v>
      </c>
      <c r="N14" s="19">
        <f>'[1]1º TRIMESTRE'!N14</f>
        <v>0</v>
      </c>
      <c r="O14" s="21">
        <f>'[1]1º TRIMESTRE'!O14</f>
        <v>341654.57999999996</v>
      </c>
      <c r="P14" s="21">
        <f>'[1]1º TRIMESTRE'!P14</f>
        <v>228125.48</v>
      </c>
      <c r="Q14" s="19" t="str">
        <f>'[1]1º TRIMESTRE'!Q14</f>
        <v>3.3.90.39</v>
      </c>
      <c r="R14" s="21">
        <f>'[1]1º TRIMESTRE'!R14</f>
        <v>1745025.62</v>
      </c>
      <c r="S14" s="21">
        <v>126347.61</v>
      </c>
      <c r="T14" s="21">
        <f>'[1]1º TRIMESTRE'!T14+S14</f>
        <v>183149.11</v>
      </c>
      <c r="U14" s="21">
        <f>'[1]1º TRIMESTRE'!U14+S14</f>
        <v>1745025.62</v>
      </c>
      <c r="V14" s="23" t="str">
        <f>'[1]1º TRIMESTRE'!V14</f>
        <v>andamento</v>
      </c>
      <c r="W14" s="24">
        <f t="shared" si="1"/>
        <v>0</v>
      </c>
      <c r="X14" s="24"/>
      <c r="Y14" s="24">
        <f t="shared" si="2"/>
        <v>0</v>
      </c>
      <c r="Z14" s="25" t="str">
        <f t="shared" si="3"/>
        <v>enc</v>
      </c>
    </row>
    <row r="15" spans="1:40" ht="33.75">
      <c r="A15" s="18" t="str">
        <f>'[1]1º TRIMESTRE'!A15</f>
        <v>CONCORRÊNCIA / nº 017/2020</v>
      </c>
      <c r="B15" s="18" t="str">
        <f>'[1]1º TRIMESTRE'!B15</f>
        <v>CONTRATACAO DOS SERVICOS DE MANUTENCAO E RECUPERACAO DA PAVIMENTACAO NAS VIAS EM PARALELEPIPEDOS CONSTITUINTES DO SISTEMA VIARIO DA CIDADE DO RECIFE. LOTE I - RPA 1</v>
      </c>
      <c r="C15" s="19">
        <f>'[1]1º TRIMESTRE'!C15</f>
        <v>0</v>
      </c>
      <c r="D15" s="20">
        <f>'[1]1º TRIMESTRE'!D15</f>
        <v>0</v>
      </c>
      <c r="E15" s="21">
        <f>'[1]1º TRIMESTRE'!E15</f>
        <v>0</v>
      </c>
      <c r="F15" s="21">
        <f>'[1]1º TRIMESTRE'!F15</f>
        <v>0</v>
      </c>
      <c r="G15" s="18" t="str">
        <f>'[1]1º TRIMESTRE'!G15</f>
        <v>10.811.370/0001-62</v>
      </c>
      <c r="H15" s="18" t="str">
        <f>'[1]1º TRIMESTRE'!H15</f>
        <v>GUERRA CONSTRUCOES LTDA</v>
      </c>
      <c r="I15" s="19" t="str">
        <f>'[1]1º TRIMESTRE'!I15</f>
        <v>6-007/21</v>
      </c>
      <c r="J15" s="22">
        <f>'[1]1º TRIMESTRE'!J15</f>
        <v>44285</v>
      </c>
      <c r="K15" s="19">
        <f>'[1]1º TRIMESTRE'!K15</f>
        <v>760</v>
      </c>
      <c r="L15" s="21">
        <f>'[1]1º TRIMESTRE'!L15</f>
        <v>4242714.5</v>
      </c>
      <c r="M15" s="22">
        <f t="shared" si="0"/>
        <v>45146</v>
      </c>
      <c r="N15" s="19">
        <f>'[1]1º TRIMESTRE'!N15+101</f>
        <v>101</v>
      </c>
      <c r="O15" s="21">
        <f>'[1]1º TRIMESTRE'!O15</f>
        <v>1148494.5</v>
      </c>
      <c r="P15" s="21">
        <f>'[1]1º TRIMESTRE'!P15</f>
        <v>640391.6</v>
      </c>
      <c r="Q15" s="19" t="str">
        <f>'[1]1º TRIMESTRE'!Q15</f>
        <v>3.3.90.39</v>
      </c>
      <c r="R15" s="21">
        <f>'[1]1º TRIMESTRE'!R15</f>
        <v>3091306.0599999996</v>
      </c>
      <c r="S15" s="21">
        <v>0</v>
      </c>
      <c r="T15" s="21">
        <f>'[1]1º TRIMESTRE'!T15+S15</f>
        <v>153588.49</v>
      </c>
      <c r="U15" s="21">
        <f>'[1]1º TRIMESTRE'!U15+S15</f>
        <v>3091306.0599999996</v>
      </c>
      <c r="V15" s="23" t="str">
        <f>'[1]1º TRIMESTRE'!V15</f>
        <v>andamento</v>
      </c>
      <c r="W15" s="24">
        <f t="shared" si="1"/>
        <v>0</v>
      </c>
      <c r="X15" s="24"/>
      <c r="Y15" s="24">
        <f t="shared" si="2"/>
        <v>0</v>
      </c>
      <c r="Z15" s="25" t="str">
        <f t="shared" si="3"/>
        <v>and</v>
      </c>
    </row>
    <row r="16" spans="1:40" ht="33.75">
      <c r="A16" s="18" t="str">
        <f>'[1]1º TRIMESTRE'!A16</f>
        <v>Tomada de Preço Licitação: 011/2021</v>
      </c>
      <c r="B16" s="18" t="str">
        <f>'[1]1º TRIMESTRE'!B16</f>
        <v>CONTRATAÇÃO DE EMPRESA DE ENGENHARIA, ESPECIALIZADA EM ILUMINAÇÃO PÚBLICA, PARA FORNECIMENTO DE LUMINÁRIAS COM TECNOLOGIA LED RGB E REDE ELÉTRICA, PARA ILUMINAÇÃO CÊNICA DA PASSARELA JOANA BEZERRA.</v>
      </c>
      <c r="C16" s="19" t="str">
        <f>'[1]1º TRIMESTRE'!C16</f>
        <v>532561/2020</v>
      </c>
      <c r="D16" s="20" t="str">
        <f>'[1]1º TRIMESTRE'!D16</f>
        <v>FINISA</v>
      </c>
      <c r="E16" s="21">
        <f>'[1]1º TRIMESTRE'!E16</f>
        <v>50000000</v>
      </c>
      <c r="F16" s="21">
        <f>'[1]1º TRIMESTRE'!F16</f>
        <v>0</v>
      </c>
      <c r="G16" s="18" t="str">
        <f>'[1]1º TRIMESTRE'!G16</f>
        <v>01.346.561/0001-00</v>
      </c>
      <c r="H16" s="18" t="str">
        <f>'[1]1º TRIMESTRE'!H16</f>
        <v>VASCONCELOS E SANTOS LTDA</v>
      </c>
      <c r="I16" s="19" t="str">
        <f>'[1]1º TRIMESTRE'!I16</f>
        <v>6-007/22</v>
      </c>
      <c r="J16" s="22">
        <f>'[1]1º TRIMESTRE'!J16</f>
        <v>44610</v>
      </c>
      <c r="K16" s="19">
        <f>'[1]1º TRIMESTRE'!K16</f>
        <v>150</v>
      </c>
      <c r="L16" s="21">
        <f>'[1]1º TRIMESTRE'!L16</f>
        <v>811940.61</v>
      </c>
      <c r="M16" s="22">
        <f t="shared" si="0"/>
        <v>44956</v>
      </c>
      <c r="N16" s="19">
        <f>'[1]1º TRIMESTRE'!N16</f>
        <v>196</v>
      </c>
      <c r="O16" s="21">
        <f>'[1]1º TRIMESTRE'!O16</f>
        <v>0</v>
      </c>
      <c r="P16" s="21">
        <f>'[1]1º TRIMESTRE'!P16</f>
        <v>0</v>
      </c>
      <c r="Q16" s="19" t="str">
        <f>'[1]1º TRIMESTRE'!Q16</f>
        <v>4.4.90.39</v>
      </c>
      <c r="R16" s="21">
        <f>'[1]1º TRIMESTRE'!R16</f>
        <v>692721.56</v>
      </c>
      <c r="S16" s="21"/>
      <c r="T16" s="21">
        <f>'[1]1º TRIMESTRE'!T16+S16</f>
        <v>0</v>
      </c>
      <c r="U16" s="21">
        <f>'[1]1º TRIMESTRE'!U16+S16</f>
        <v>692721.56</v>
      </c>
      <c r="V16" s="23" t="str">
        <f>'[1]1º TRIMESTRE'!V16</f>
        <v>encerrado</v>
      </c>
      <c r="W16" s="24">
        <f t="shared" si="1"/>
        <v>0</v>
      </c>
      <c r="X16" s="24"/>
      <c r="Y16" s="24">
        <f t="shared" si="2"/>
        <v>0</v>
      </c>
      <c r="Z16" s="25" t="str">
        <f t="shared" si="3"/>
        <v>enc</v>
      </c>
    </row>
    <row r="17" spans="1:27" ht="33.75">
      <c r="A17" s="18" t="str">
        <f>'[1]1º TRIMESTRE'!A17</f>
        <v>CONCORRÊNCIA / nº 017/2020</v>
      </c>
      <c r="B17" s="18" t="str">
        <f>'[1]1º TRIMESTRE'!B17</f>
        <v>CONTRATACAO DOS SERVICOS DE MANUTENCAO E RECUPERACAO DA PAVIMENTACAO NAS VIAS EM PARALELEPIPEDOS CONSTITUINTES DO SISTEMA VIARIO DA CIDADE DO RECIFE. LOTES II - RPA 2 E 3</v>
      </c>
      <c r="C17" s="19">
        <f>'[1]1º TRIMESTRE'!C17</f>
        <v>0</v>
      </c>
      <c r="D17" s="20">
        <f>'[1]1º TRIMESTRE'!D17</f>
        <v>0</v>
      </c>
      <c r="E17" s="21">
        <f>'[1]1º TRIMESTRE'!E17</f>
        <v>0</v>
      </c>
      <c r="F17" s="21">
        <f>'[1]1º TRIMESTRE'!F17</f>
        <v>0</v>
      </c>
      <c r="G17" s="18" t="str">
        <f>'[1]1º TRIMESTRE'!G17</f>
        <v>07.086.088/0001-55</v>
      </c>
      <c r="H17" s="18" t="str">
        <f>'[1]1º TRIMESTRE'!H17</f>
        <v>SOLO CONSTRUCOES E TERRAPLANAGEM LTDA</v>
      </c>
      <c r="I17" s="19" t="str">
        <f>'[1]1º TRIMESTRE'!I17</f>
        <v>6-008/21</v>
      </c>
      <c r="J17" s="22">
        <f>'[1]1º TRIMESTRE'!J17</f>
        <v>44285</v>
      </c>
      <c r="K17" s="19">
        <f>'[1]1º TRIMESTRE'!K17</f>
        <v>760</v>
      </c>
      <c r="L17" s="21">
        <f>'[1]1º TRIMESTRE'!L17</f>
        <v>5068725.74</v>
      </c>
      <c r="M17" s="22">
        <f t="shared" si="0"/>
        <v>45105</v>
      </c>
      <c r="N17" s="19">
        <f>'[1]1º TRIMESTRE'!N17</f>
        <v>60</v>
      </c>
      <c r="O17" s="21">
        <f>'[1]1º TRIMESTRE'!O17</f>
        <v>954667.4</v>
      </c>
      <c r="P17" s="21">
        <f>'[1]1º TRIMESTRE'!P17</f>
        <v>765001.36</v>
      </c>
      <c r="Q17" s="19" t="str">
        <f>'[1]1º TRIMESTRE'!Q17</f>
        <v>3.3.90.39</v>
      </c>
      <c r="R17" s="21">
        <f>'[1]1º TRIMESTRE'!R17+94109.97</f>
        <v>3400912.0500000003</v>
      </c>
      <c r="S17" s="21">
        <v>180178.57</v>
      </c>
      <c r="T17" s="21">
        <f>'[1]1º TRIMESTRE'!T17+S17</f>
        <v>234005.41</v>
      </c>
      <c r="U17" s="21">
        <f>'[1]1º TRIMESTRE'!U17+S17</f>
        <v>3400912.05</v>
      </c>
      <c r="V17" s="23" t="str">
        <f>'[1]1º TRIMESTRE'!V17</f>
        <v>andamento</v>
      </c>
      <c r="W17" s="24">
        <f t="shared" si="1"/>
        <v>0</v>
      </c>
      <c r="X17" s="24"/>
      <c r="Y17" s="24">
        <f t="shared" si="2"/>
        <v>0</v>
      </c>
      <c r="Z17" s="25" t="str">
        <f t="shared" si="3"/>
        <v>enc</v>
      </c>
    </row>
    <row r="18" spans="1:27" ht="33.75">
      <c r="A18" s="18" t="str">
        <f>'[1]1º TRIMESTRE'!A18</f>
        <v>CONCORRÊNCIA / nº 017/2020</v>
      </c>
      <c r="B18" s="18" t="str">
        <f>'[1]1º TRIMESTRE'!B18</f>
        <v>CONTRATACAO DOS SERVICOS DE MANUTENCAO E RECUPERACAO DA PAVIMENTACAO NAS VIAS EM PARALELEPIPEDOS CONSTITUINTES DO SISTEMA VIARIO DA CIDADE DO RECIFE. LOTES III - RPA 4 E 5</v>
      </c>
      <c r="C18" s="19">
        <f>'[1]1º TRIMESTRE'!C18</f>
        <v>0</v>
      </c>
      <c r="D18" s="20">
        <f>'[1]1º TRIMESTRE'!D18</f>
        <v>0</v>
      </c>
      <c r="E18" s="21">
        <f>'[1]1º TRIMESTRE'!E18</f>
        <v>0</v>
      </c>
      <c r="F18" s="21">
        <f>'[1]1º TRIMESTRE'!F18</f>
        <v>0</v>
      </c>
      <c r="G18" s="18" t="str">
        <f>'[1]1º TRIMESTRE'!G18</f>
        <v>05.625.079/0001-60</v>
      </c>
      <c r="H18" s="18" t="str">
        <f>'[1]1º TRIMESTRE'!H18</f>
        <v xml:space="preserve">CONSTRUTORA MARDIFI LTDA - EPP </v>
      </c>
      <c r="I18" s="19" t="str">
        <f>'[1]1º TRIMESTRE'!I18</f>
        <v>6-009/21</v>
      </c>
      <c r="J18" s="22">
        <f>'[1]1º TRIMESTRE'!J18</f>
        <v>44285</v>
      </c>
      <c r="K18" s="19">
        <f>'[1]1º TRIMESTRE'!K18</f>
        <v>760</v>
      </c>
      <c r="L18" s="21">
        <f>'[1]1º TRIMESTRE'!L18</f>
        <v>7317745.6200000001</v>
      </c>
      <c r="M18" s="22">
        <f t="shared" si="0"/>
        <v>45105</v>
      </c>
      <c r="N18" s="19">
        <f>'[1]1º TRIMESTRE'!N18+60</f>
        <v>60</v>
      </c>
      <c r="O18" s="21">
        <f>'[1]1º TRIMESTRE'!O18+935312.8</f>
        <v>1068295.5</v>
      </c>
      <c r="P18" s="21">
        <f>'[1]1º TRIMESTRE'!P18</f>
        <v>1104379.68</v>
      </c>
      <c r="Q18" s="19" t="str">
        <f>'[1]1º TRIMESTRE'!Q18</f>
        <v>3.3.90.39</v>
      </c>
      <c r="R18" s="21">
        <f>'[1]1º TRIMESTRE'!R18+438763.48</f>
        <v>4300169.51</v>
      </c>
      <c r="S18" s="21">
        <v>788759.92</v>
      </c>
      <c r="T18" s="21">
        <f>'[1]1º TRIMESTRE'!T18+S18</f>
        <v>1530543.51</v>
      </c>
      <c r="U18" s="21">
        <f>'[1]1º TRIMESTRE'!U18+S18</f>
        <v>4300169.51</v>
      </c>
      <c r="V18" s="23" t="str">
        <f>'[1]1º TRIMESTRE'!V18</f>
        <v>andamento</v>
      </c>
      <c r="W18" s="24">
        <f t="shared" si="1"/>
        <v>0</v>
      </c>
      <c r="X18" s="24"/>
      <c r="Y18" s="24">
        <f t="shared" si="2"/>
        <v>0</v>
      </c>
      <c r="Z18" s="25" t="str">
        <f t="shared" si="3"/>
        <v>enc</v>
      </c>
    </row>
    <row r="19" spans="1:27" ht="45">
      <c r="A19" s="18" t="str">
        <f>'[1]1º TRIMESTRE'!A19</f>
        <v>CONCORRÊNCIA / nº 018/2021</v>
      </c>
      <c r="B19" s="18" t="str">
        <f>'[1]1º TRIMESTRE'!B19</f>
        <v>SERVIÇOS DE REQUALIFICAÇÃO DE PAVIMENTAÇÃO, DRENAGEM, ACESSIBILIDADE E SINALIZAÇÃO DA RUA CARLOS PEREIRA FALÇÃO TRECHO ENTRE AS RUAS VISCONDE DE JEQUITINHONHA E TENENTE DOMINGOS DE BRITO LOCALIZADA NO BAIRRO DE BOA VIAGEM NA CIDADE DO RECIFE - PE</v>
      </c>
      <c r="C19" s="19" t="str">
        <f>'[1]1º TRIMESTRE'!C19</f>
        <v>899753/2020</v>
      </c>
      <c r="D19" s="20" t="str">
        <f>'[1]1º TRIMESTRE'!D19</f>
        <v>Emenda Parlamentar Federal</v>
      </c>
      <c r="E19" s="21">
        <f>'[1]1º TRIMESTRE'!E19</f>
        <v>767341</v>
      </c>
      <c r="F19" s="21">
        <f>'[1]1º TRIMESTRE'!F19</f>
        <v>8000</v>
      </c>
      <c r="G19" s="18" t="str">
        <f>'[1]1º TRIMESTRE'!G19</f>
        <v>10.893.105/0001-70</v>
      </c>
      <c r="H19" s="18" t="str">
        <f>'[1]1º TRIMESTRE'!H19</f>
        <v>AGILIS CONSTRUTORA LTDA</v>
      </c>
      <c r="I19" s="19" t="str">
        <f>'[1]1º TRIMESTRE'!I19</f>
        <v>6-009/22</v>
      </c>
      <c r="J19" s="22">
        <f>'[1]1º TRIMESTRE'!J19</f>
        <v>44630</v>
      </c>
      <c r="K19" s="19">
        <f>'[1]1º TRIMESTRE'!K19</f>
        <v>180</v>
      </c>
      <c r="L19" s="21">
        <f>'[1]1º TRIMESTRE'!L19</f>
        <v>730428.03</v>
      </c>
      <c r="M19" s="22">
        <f t="shared" si="0"/>
        <v>45021</v>
      </c>
      <c r="N19" s="19">
        <f>'[1]1º TRIMESTRE'!N19+1</f>
        <v>211</v>
      </c>
      <c r="O19" s="21">
        <f>'[1]1º TRIMESTRE'!O19</f>
        <v>0</v>
      </c>
      <c r="P19" s="21">
        <f>'[1]1º TRIMESTRE'!P19</f>
        <v>0</v>
      </c>
      <c r="Q19" s="19" t="str">
        <f>'[1]1º TRIMESTRE'!Q19</f>
        <v>4.4.90.39</v>
      </c>
      <c r="R19" s="21">
        <f>'[1]1º TRIMESTRE'!R19</f>
        <v>723421.05</v>
      </c>
      <c r="S19" s="21">
        <v>4142.96</v>
      </c>
      <c r="T19" s="21">
        <f>'[1]1º TRIMESTRE'!T19+S19</f>
        <v>401531.04000000004</v>
      </c>
      <c r="U19" s="21">
        <f>'[1]1º TRIMESTRE'!U19+S19</f>
        <v>401531.04000000004</v>
      </c>
      <c r="V19" s="23" t="str">
        <f>'[1]1º TRIMESTRE'!V19</f>
        <v>andamento</v>
      </c>
      <c r="W19" s="24">
        <f t="shared" si="1"/>
        <v>-321890.01</v>
      </c>
      <c r="X19" s="24"/>
      <c r="Y19" s="24">
        <f t="shared" si="2"/>
        <v>-321890.01</v>
      </c>
      <c r="Z19" s="25" t="str">
        <f t="shared" si="3"/>
        <v>enc</v>
      </c>
    </row>
    <row r="20" spans="1:27" ht="33.75">
      <c r="A20" s="18" t="str">
        <f>'[1]1º TRIMESTRE'!A20</f>
        <v>CONCORRÊNCIA / nº 017/2020</v>
      </c>
      <c r="B20" s="18" t="str">
        <f>'[1]1º TRIMESTRE'!B20</f>
        <v>CONTRATACAO DOS SERVICOS DE MANUTENCAO E RECUPERACAO DA PAVIMENTACAO NAS VIAS EM PARALELEPIPEDOS CONSTITUINTES DO SISTEMA VIARIO DA CIDADE DO RECIFE. LOTES IV. - RPA 06</v>
      </c>
      <c r="C20" s="19">
        <f>'[1]1º TRIMESTRE'!C20</f>
        <v>0</v>
      </c>
      <c r="D20" s="20">
        <f>'[1]1º TRIMESTRE'!D20</f>
        <v>0</v>
      </c>
      <c r="E20" s="21">
        <f>'[1]1º TRIMESTRE'!E20</f>
        <v>0</v>
      </c>
      <c r="F20" s="21">
        <f>'[1]1º TRIMESTRE'!F20</f>
        <v>0</v>
      </c>
      <c r="G20" s="18" t="str">
        <f>'[1]1º TRIMESTRE'!G20</f>
        <v>10.811.370/0001-62</v>
      </c>
      <c r="H20" s="18" t="str">
        <f>'[1]1º TRIMESTRE'!H20</f>
        <v>GUERRA CONSTRUCOES LTDA</v>
      </c>
      <c r="I20" s="19" t="str">
        <f>'[1]1º TRIMESTRE'!I20</f>
        <v>6-010/21</v>
      </c>
      <c r="J20" s="22">
        <f>'[1]1º TRIMESTRE'!J20</f>
        <v>44285</v>
      </c>
      <c r="K20" s="19">
        <f>'[1]1º TRIMESTRE'!K20</f>
        <v>760</v>
      </c>
      <c r="L20" s="21">
        <f>'[1]1º TRIMESTRE'!L20</f>
        <v>6534905.3499999996</v>
      </c>
      <c r="M20" s="22">
        <f t="shared" si="0"/>
        <v>45146</v>
      </c>
      <c r="N20" s="19">
        <f>'[1]1º TRIMESTRE'!N20+101</f>
        <v>101</v>
      </c>
      <c r="O20" s="21">
        <f>'[1]1º TRIMESTRE'!O20</f>
        <v>1356122.72</v>
      </c>
      <c r="P20" s="21">
        <f>'[1]1º TRIMESTRE'!P20</f>
        <v>986199.95</v>
      </c>
      <c r="Q20" s="19" t="str">
        <f>'[1]1º TRIMESTRE'!Q20</f>
        <v>3.3.90.39</v>
      </c>
      <c r="R20" s="21">
        <f>'[1]1º TRIMESTRE'!R20</f>
        <v>4231671.62</v>
      </c>
      <c r="S20" s="21">
        <v>95646.88</v>
      </c>
      <c r="T20" s="21">
        <f>'[1]1º TRIMESTRE'!T20+S20</f>
        <v>125138.64</v>
      </c>
      <c r="U20" s="21">
        <f>'[1]1º TRIMESTRE'!U20+S20</f>
        <v>4231671.62</v>
      </c>
      <c r="V20" s="23" t="str">
        <f>'[1]1º TRIMESTRE'!V20</f>
        <v>andamento</v>
      </c>
      <c r="W20" s="24">
        <f t="shared" si="1"/>
        <v>0</v>
      </c>
      <c r="X20" s="24"/>
      <c r="Y20" s="24">
        <f t="shared" si="2"/>
        <v>0</v>
      </c>
      <c r="Z20" s="25" t="str">
        <f t="shared" si="3"/>
        <v>and</v>
      </c>
    </row>
    <row r="21" spans="1:27" ht="33.75">
      <c r="A21" s="18" t="str">
        <f>'[1]1º TRIMESTRE'!A21</f>
        <v>INEX 009/2021</v>
      </c>
      <c r="B21" s="18" t="str">
        <f>'[1]1º TRIMESTRE'!B21</f>
        <v>CONTRATACAO DOS SERVICOS DE MANUTENCAO PREVENTIVA DO SISTEMA DE MACRODRENAGEM PELO PROCESSO DE BARRAGEM MOVEL EM DIVERSOS CANAIS DA CIDADE DO RECIFE</v>
      </c>
      <c r="C21" s="19">
        <f>'[1]1º TRIMESTRE'!C21</f>
        <v>0</v>
      </c>
      <c r="D21" s="20">
        <f>'[1]1º TRIMESTRE'!D21</f>
        <v>0</v>
      </c>
      <c r="E21" s="21">
        <f>'[1]1º TRIMESTRE'!E21</f>
        <v>0</v>
      </c>
      <c r="F21" s="21">
        <f>'[1]1º TRIMESTRE'!F21</f>
        <v>0</v>
      </c>
      <c r="G21" s="18" t="str">
        <f>'[1]1º TRIMESTRE'!G21</f>
        <v>03.366.083/0001-25</v>
      </c>
      <c r="H21" s="18" t="str">
        <f>'[1]1º TRIMESTRE'!H21</f>
        <v>HIDROMAX CONSTRUÇOES LTDA</v>
      </c>
      <c r="I21" s="19" t="str">
        <f>'[1]1º TRIMESTRE'!I21</f>
        <v>6-012/21</v>
      </c>
      <c r="J21" s="22">
        <f>'[1]1º TRIMESTRE'!J21</f>
        <v>44354</v>
      </c>
      <c r="K21" s="19">
        <f>'[1]1º TRIMESTRE'!K21</f>
        <v>760</v>
      </c>
      <c r="L21" s="21">
        <f>'[1]1º TRIMESTRE'!L21</f>
        <v>1940544.76</v>
      </c>
      <c r="M21" s="22">
        <f t="shared" si="0"/>
        <v>45114</v>
      </c>
      <c r="N21" s="19">
        <f>'[1]1º TRIMESTRE'!N21</f>
        <v>0</v>
      </c>
      <c r="O21" s="21">
        <f>'[1]1º TRIMESTRE'!O21</f>
        <v>465490.75</v>
      </c>
      <c r="P21" s="21">
        <f>'[1]1º TRIMESTRE'!P21</f>
        <v>0</v>
      </c>
      <c r="Q21" s="19" t="str">
        <f>'[1]1º TRIMESTRE'!Q21</f>
        <v>3.3.90.39</v>
      </c>
      <c r="R21" s="21">
        <f>'[1]1º TRIMESTRE'!R21</f>
        <v>1950333.88</v>
      </c>
      <c r="S21" s="21"/>
      <c r="T21" s="21">
        <f>'[1]1º TRIMESTRE'!T21+S21</f>
        <v>0</v>
      </c>
      <c r="U21" s="21">
        <f>'[1]1º TRIMESTRE'!U21+S21</f>
        <v>1950333.88</v>
      </c>
      <c r="V21" s="23" t="str">
        <f>'[1]1º TRIMESTRE'!V21</f>
        <v>andamento</v>
      </c>
      <c r="W21" s="24">
        <f t="shared" si="1"/>
        <v>0</v>
      </c>
      <c r="X21" s="24"/>
      <c r="Y21" s="24">
        <f t="shared" si="2"/>
        <v>0</v>
      </c>
      <c r="Z21" s="25" t="str">
        <f t="shared" si="3"/>
        <v>and</v>
      </c>
    </row>
    <row r="22" spans="1:27" ht="45">
      <c r="A22" s="18" t="str">
        <f>'[1]1º TRIMESTRE'!A22</f>
        <v>Pregão Eletrônico Licitação: 002/2022</v>
      </c>
      <c r="B22" s="18" t="str">
        <f>'[1]1º TRIMESTRE'!B22</f>
        <v>CONTRATAÇÃO DE PESSOA S JURÍDICA S ESPECIALIZADA EM ENGENHARIA SANITÁRIA PARA RECEBIMENTO, TRATAMENTO E DISPOSIÇÃO FINAL DE RESÍDUOS DE CONSTRUÇÃO RCC CLASSE A INERTE COLETADOS PELA EMLURB NO MUNICÍPIO DO RECIFE</v>
      </c>
      <c r="C22" s="19">
        <f>'[1]1º TRIMESTRE'!C22</f>
        <v>0</v>
      </c>
      <c r="D22" s="20">
        <f>'[1]1º TRIMESTRE'!D22</f>
        <v>0</v>
      </c>
      <c r="E22" s="21">
        <f>'[1]1º TRIMESTRE'!E22</f>
        <v>0</v>
      </c>
      <c r="F22" s="21">
        <f>'[1]1º TRIMESTRE'!F22</f>
        <v>0</v>
      </c>
      <c r="G22" s="18" t="str">
        <f>'[1]1º TRIMESTRE'!G22</f>
        <v>10.877.732/0001-18</v>
      </c>
      <c r="H22" s="18" t="str">
        <f>'[1]1º TRIMESTRE'!H22</f>
        <v>CICLO AMBIENTAL LTDA</v>
      </c>
      <c r="I22" s="19" t="str">
        <f>'[1]1º TRIMESTRE'!I22</f>
        <v>6-012/22</v>
      </c>
      <c r="J22" s="22">
        <f>'[1]1º TRIMESTRE'!J22</f>
        <v>44635</v>
      </c>
      <c r="K22" s="19">
        <f>'[1]1º TRIMESTRE'!K22</f>
        <v>1890</v>
      </c>
      <c r="L22" s="21">
        <f>'[1]1º TRIMESTRE'!L22</f>
        <v>28992600</v>
      </c>
      <c r="M22" s="22">
        <f t="shared" si="0"/>
        <v>46525</v>
      </c>
      <c r="N22" s="19">
        <f>'[1]1º TRIMESTRE'!N22</f>
        <v>0</v>
      </c>
      <c r="O22" s="21">
        <f>'[1]1º TRIMESTRE'!O22</f>
        <v>0</v>
      </c>
      <c r="P22" s="21">
        <f>'[1]1º TRIMESTRE'!P22</f>
        <v>1419600</v>
      </c>
      <c r="Q22" s="19" t="str">
        <f>'[1]1º TRIMESTRE'!Q22</f>
        <v>3.3.90.39</v>
      </c>
      <c r="R22" s="21">
        <f>'[1]1º TRIMESTRE'!R22+2105713.42</f>
        <v>7692966.5</v>
      </c>
      <c r="S22" s="21">
        <v>2105713.42</v>
      </c>
      <c r="T22" s="21">
        <f>'[1]1º TRIMESTRE'!T22+S22</f>
        <v>2970623.63</v>
      </c>
      <c r="U22" s="21">
        <f>'[1]1º TRIMESTRE'!U22+S22</f>
        <v>7692966.5</v>
      </c>
      <c r="V22" s="23" t="str">
        <f>'[1]1º TRIMESTRE'!V22</f>
        <v>andamento</v>
      </c>
      <c r="W22" s="24">
        <f t="shared" si="1"/>
        <v>0</v>
      </c>
      <c r="X22" s="24"/>
      <c r="Y22" s="24">
        <f t="shared" si="2"/>
        <v>0</v>
      </c>
      <c r="Z22" s="25" t="str">
        <f t="shared" si="3"/>
        <v>and</v>
      </c>
    </row>
    <row r="23" spans="1:27" ht="22.5">
      <c r="A23" s="18" t="str">
        <f>'[1]1º TRIMESTRE'!A23</f>
        <v>TOMADA DE PREÇOS Licitação: 001/2020</v>
      </c>
      <c r="B23" s="18" t="str">
        <f>'[1]1º TRIMESTRE'!B23</f>
        <v>PRESTAÇÃO DE SERVIÇO DE MANUTENÇÃO E RECUPERAÇÃO AMBIENTAL DO ATERRO CONTROLADO DA MURIBECA</v>
      </c>
      <c r="C23" s="19">
        <f>'[1]1º TRIMESTRE'!C23</f>
        <v>0</v>
      </c>
      <c r="D23" s="20">
        <f>'[1]1º TRIMESTRE'!D23</f>
        <v>0</v>
      </c>
      <c r="E23" s="21">
        <f>'[1]1º TRIMESTRE'!E23</f>
        <v>0</v>
      </c>
      <c r="F23" s="21">
        <f>'[1]1º TRIMESTRE'!F23</f>
        <v>0</v>
      </c>
      <c r="G23" s="18" t="str">
        <f>'[1]1º TRIMESTRE'!G23</f>
        <v>07.693.988/0001-60</v>
      </c>
      <c r="H23" s="18" t="str">
        <f>'[1]1º TRIMESTRE'!H23</f>
        <v>F R F ENGENHARIA LTDA</v>
      </c>
      <c r="I23" s="19" t="str">
        <f>'[1]1º TRIMESTRE'!I23</f>
        <v>6-013/20</v>
      </c>
      <c r="J23" s="22">
        <f>'[1]1º TRIMESTRE'!J23</f>
        <v>44007</v>
      </c>
      <c r="K23" s="19">
        <f>'[1]1º TRIMESTRE'!K23</f>
        <v>760</v>
      </c>
      <c r="L23" s="21">
        <f>'[1]1º TRIMESTRE'!L23</f>
        <v>1152030.3799999999</v>
      </c>
      <c r="M23" s="22">
        <f t="shared" si="0"/>
        <v>44947</v>
      </c>
      <c r="N23" s="19">
        <f>'[1]1º TRIMESTRE'!N23</f>
        <v>180</v>
      </c>
      <c r="O23" s="21">
        <f>'[1]1º TRIMESTRE'!O23</f>
        <v>0</v>
      </c>
      <c r="P23" s="21">
        <f>'[1]1º TRIMESTRE'!P23</f>
        <v>0</v>
      </c>
      <c r="Q23" s="19" t="str">
        <f>'[1]1º TRIMESTRE'!Q23</f>
        <v>3.3.90.39</v>
      </c>
      <c r="R23" s="21">
        <f>'[1]1º TRIMESTRE'!R23</f>
        <v>955092.19</v>
      </c>
      <c r="S23" s="21">
        <v>0</v>
      </c>
      <c r="T23" s="21">
        <f>'[1]1º TRIMESTRE'!T23+S23</f>
        <v>8480.99</v>
      </c>
      <c r="U23" s="21">
        <f>'[1]1º TRIMESTRE'!U23+S23</f>
        <v>955092.19</v>
      </c>
      <c r="V23" s="23" t="str">
        <f>'[1]1º TRIMESTRE'!V23</f>
        <v>encerrado</v>
      </c>
      <c r="W23" s="24">
        <f t="shared" si="1"/>
        <v>0</v>
      </c>
      <c r="X23" s="24"/>
      <c r="Y23" s="24">
        <f t="shared" si="2"/>
        <v>0</v>
      </c>
      <c r="Z23" s="25" t="str">
        <f t="shared" si="3"/>
        <v>enc</v>
      </c>
    </row>
    <row r="24" spans="1:27" ht="33.75">
      <c r="A24" s="18" t="str">
        <f>'[1]1º TRIMESTRE'!A24</f>
        <v>concorrência /nº 001/2021</v>
      </c>
      <c r="B24" s="18" t="str">
        <f>'[1]1º TRIMESTRE'!B24</f>
        <v>CONTRATACAO DE EMPRESA DE ENGENHARIA ESPECIALIZADA. PARA A OPERACAO. AUTOMACAO E MANUTENCAO ELETRICA E MECANICA DAS ESTACOES DE BOMBEAMENTO E COMPORTAS DA CIDADE DO RECIFE</v>
      </c>
      <c r="C24" s="19">
        <f>'[1]1º TRIMESTRE'!C24</f>
        <v>0</v>
      </c>
      <c r="D24" s="20">
        <f>'[1]1º TRIMESTRE'!D24</f>
        <v>0</v>
      </c>
      <c r="E24" s="21">
        <f>'[1]1º TRIMESTRE'!E24</f>
        <v>0</v>
      </c>
      <c r="F24" s="21">
        <f>'[1]1º TRIMESTRE'!F24</f>
        <v>0</v>
      </c>
      <c r="G24" s="18" t="str">
        <f>'[1]1º TRIMESTRE'!G24</f>
        <v>41.116.138/0001-38</v>
      </c>
      <c r="H24" s="18" t="str">
        <f>'[1]1º TRIMESTRE'!H24</f>
        <v>REAL ENERGY LTDA</v>
      </c>
      <c r="I24" s="19" t="str">
        <f>'[1]1º TRIMESTRE'!I24</f>
        <v>6-014/21</v>
      </c>
      <c r="J24" s="22">
        <f>'[1]1º TRIMESTRE'!J24</f>
        <v>44347</v>
      </c>
      <c r="K24" s="19">
        <f>'[1]1º TRIMESTRE'!K24</f>
        <v>790</v>
      </c>
      <c r="L24" s="21">
        <f>'[1]1º TRIMESTRE'!L24</f>
        <v>3652773.14</v>
      </c>
      <c r="M24" s="22">
        <f t="shared" si="0"/>
        <v>45251</v>
      </c>
      <c r="N24" s="19">
        <f>'[1]1º TRIMESTRE'!N24+114</f>
        <v>114</v>
      </c>
      <c r="O24" s="21">
        <f>'[1]1º TRIMESTRE'!O24+580102.29</f>
        <v>979736.71</v>
      </c>
      <c r="P24" s="21">
        <f>'[1]1º TRIMESTRE'!P24</f>
        <v>418590.06</v>
      </c>
      <c r="Q24" s="19" t="str">
        <f>'[1]1º TRIMESTRE'!Q24</f>
        <v>3.3.90.39</v>
      </c>
      <c r="R24" s="21">
        <f>'[1]1º TRIMESTRE'!R24+223349.8</f>
        <v>3168025.03</v>
      </c>
      <c r="S24" s="21">
        <v>324233.71999999997</v>
      </c>
      <c r="T24" s="21">
        <f>'[1]1º TRIMESTRE'!T24+S24</f>
        <v>633710.76</v>
      </c>
      <c r="U24" s="21">
        <f>'[1]1º TRIMESTRE'!U24+S24</f>
        <v>3168025.0300000003</v>
      </c>
      <c r="V24" s="23" t="str">
        <f>'[1]1º TRIMESTRE'!V24</f>
        <v>andamento</v>
      </c>
      <c r="W24" s="24">
        <f t="shared" si="1"/>
        <v>0</v>
      </c>
      <c r="X24" s="24"/>
      <c r="Y24" s="24">
        <f t="shared" si="2"/>
        <v>0</v>
      </c>
      <c r="Z24" s="25" t="str">
        <f t="shared" si="3"/>
        <v>and</v>
      </c>
    </row>
    <row r="25" spans="1:27" ht="22.5">
      <c r="A25" s="18" t="str">
        <f>'[1]1º TRIMESTRE'!A25</f>
        <v>concorrência /nº 015/2020</v>
      </c>
      <c r="B25" s="18" t="str">
        <f>'[1]1º TRIMESTRE'!B25</f>
        <v>SERVIÇOS DE RECUPERAÇÃO DE VIAS URBANAS PAVIMENTAS EM CONCRETO DE CIMENTO PORTLAND EM TRECHOS DE VIAS NAS RPA'S 1 A 6</v>
      </c>
      <c r="C25" s="19">
        <f>'[1]1º TRIMESTRE'!C25</f>
        <v>0</v>
      </c>
      <c r="D25" s="20">
        <f>'[1]1º TRIMESTRE'!D25</f>
        <v>0</v>
      </c>
      <c r="E25" s="21">
        <f>'[1]1º TRIMESTRE'!E25</f>
        <v>0</v>
      </c>
      <c r="F25" s="21">
        <f>'[1]1º TRIMESTRE'!F25</f>
        <v>0</v>
      </c>
      <c r="G25" s="18" t="str">
        <f>'[1]1º TRIMESTRE'!G25</f>
        <v>00.338.885/0001-33</v>
      </c>
      <c r="H25" s="18" t="str">
        <f>'[1]1º TRIMESTRE'!H25</f>
        <v>NOVATEC CONSTRUCOES E EMPREENDIMENTOS LTDA</v>
      </c>
      <c r="I25" s="19" t="str">
        <f>'[1]1º TRIMESTRE'!I25</f>
        <v>6-015/21</v>
      </c>
      <c r="J25" s="22">
        <f>'[1]1º TRIMESTRE'!J25</f>
        <v>44363</v>
      </c>
      <c r="K25" s="19">
        <f>'[1]1º TRIMESTRE'!K25</f>
        <v>790</v>
      </c>
      <c r="L25" s="21">
        <f>'[1]1º TRIMESTRE'!L25</f>
        <v>8412130.0600000005</v>
      </c>
      <c r="M25" s="22">
        <f t="shared" si="0"/>
        <v>45153</v>
      </c>
      <c r="N25" s="19">
        <f>'[1]1º TRIMESTRE'!N25</f>
        <v>0</v>
      </c>
      <c r="O25" s="21">
        <f>'[1]1º TRIMESTRE'!O25+130240.23</f>
        <v>1983150.45</v>
      </c>
      <c r="P25" s="21">
        <f>'[1]1º TRIMESTRE'!P25</f>
        <v>1314665.07</v>
      </c>
      <c r="Q25" s="19" t="str">
        <f>'[1]1º TRIMESTRE'!Q25</f>
        <v>3.3.90.39</v>
      </c>
      <c r="R25" s="21">
        <f>'[1]1º TRIMESTRE'!R25+597407.72</f>
        <v>7148076.0800000001</v>
      </c>
      <c r="S25" s="21">
        <v>45949.45</v>
      </c>
      <c r="T25" s="21">
        <f>'[1]1º TRIMESTRE'!T25+S25</f>
        <v>45949.45</v>
      </c>
      <c r="U25" s="21">
        <f>'[1]1º TRIMESTRE'!U25+S25</f>
        <v>6550668.3600000003</v>
      </c>
      <c r="V25" s="23" t="str">
        <f>'[1]1º TRIMESTRE'!V25</f>
        <v>andamento</v>
      </c>
      <c r="W25" s="24">
        <f t="shared" si="1"/>
        <v>-597407.71999999974</v>
      </c>
      <c r="X25" s="24">
        <f>222475.85+129017.26</f>
        <v>351493.11</v>
      </c>
      <c r="Y25" s="24">
        <f t="shared" si="2"/>
        <v>-245914.60999999975</v>
      </c>
      <c r="Z25" s="25" t="str">
        <f t="shared" si="3"/>
        <v>and</v>
      </c>
      <c r="AA25" s="26"/>
    </row>
    <row r="26" spans="1:27" ht="33.75">
      <c r="A26" s="18" t="str">
        <f>'[1]1º TRIMESTRE'!A26</f>
        <v>DISP 003/2020</v>
      </c>
      <c r="B26" s="18" t="str">
        <f>'[1]1º TRIMESTRE'!B26</f>
        <v>MONITORAMENTO AMBIENTAL DO ATERRO CONTROLADO DA MURIBECA E SERVIÇOS DE CONSULTORIA TECNOLÓGICA PARA TRATAMENTO DE RESÍDUOS SÓLIDOS URBANOS</v>
      </c>
      <c r="C26" s="19">
        <f>'[1]1º TRIMESTRE'!C26</f>
        <v>0</v>
      </c>
      <c r="D26" s="20">
        <f>'[1]1º TRIMESTRE'!D26</f>
        <v>0</v>
      </c>
      <c r="E26" s="21">
        <f>'[1]1º TRIMESTRE'!E26</f>
        <v>0</v>
      </c>
      <c r="F26" s="21">
        <f>'[1]1º TRIMESTRE'!F26</f>
        <v>0</v>
      </c>
      <c r="G26" s="18" t="str">
        <f>'[1]1º TRIMESTRE'!G26</f>
        <v>11.187.606/0001-02</v>
      </c>
      <c r="H26" s="18" t="str">
        <f>'[1]1º TRIMESTRE'!H26</f>
        <v xml:space="preserve">ATEPE ASSOCIACAO TECNOLOGICA DE PERNAMBUCO                  </v>
      </c>
      <c r="I26" s="19" t="str">
        <f>'[1]1º TRIMESTRE'!I26</f>
        <v>6-018/20</v>
      </c>
      <c r="J26" s="22">
        <f>'[1]1º TRIMESTRE'!J26</f>
        <v>44007</v>
      </c>
      <c r="K26" s="19">
        <f>'[1]1º TRIMESTRE'!K26</f>
        <v>365</v>
      </c>
      <c r="L26" s="21">
        <f>'[1]1º TRIMESTRE'!L26</f>
        <v>251180</v>
      </c>
      <c r="M26" s="22">
        <f t="shared" si="0"/>
        <v>45102</v>
      </c>
      <c r="N26" s="19">
        <f>'[1]1º TRIMESTRE'!N26</f>
        <v>730</v>
      </c>
      <c r="O26" s="21">
        <f>'[1]1º TRIMESTRE'!O26</f>
        <v>518360</v>
      </c>
      <c r="P26" s="21">
        <f>'[1]1º TRIMESTRE'!P26</f>
        <v>0</v>
      </c>
      <c r="Q26" s="19" t="str">
        <f>'[1]1º TRIMESTRE'!Q26</f>
        <v>3.3.90.39</v>
      </c>
      <c r="R26" s="21">
        <f>'[1]1º TRIMESTRE'!R26+49170</f>
        <v>559961.1</v>
      </c>
      <c r="S26" s="21">
        <v>38390</v>
      </c>
      <c r="T26" s="21">
        <f>'[1]1º TRIMESTRE'!T26+S26</f>
        <v>49170</v>
      </c>
      <c r="U26" s="21">
        <f>'[1]1º TRIMESTRE'!U26+S26</f>
        <v>530491.1</v>
      </c>
      <c r="V26" s="23" t="str">
        <f>'[1]1º TRIMESTRE'!V26</f>
        <v>andamento</v>
      </c>
      <c r="W26" s="24">
        <f t="shared" si="1"/>
        <v>-29470</v>
      </c>
      <c r="X26" s="24">
        <v>29470</v>
      </c>
      <c r="Y26" s="24">
        <f t="shared" si="2"/>
        <v>0</v>
      </c>
      <c r="Z26" s="25" t="str">
        <f t="shared" si="3"/>
        <v>enc</v>
      </c>
    </row>
    <row r="27" spans="1:27" ht="22.5">
      <c r="A27" s="18" t="str">
        <f>'[1]1º TRIMESTRE'!A27</f>
        <v>concorrência /nº 004/2021</v>
      </c>
      <c r="B27" s="18" t="str">
        <f>'[1]1º TRIMESTRE'!B27</f>
        <v>RECUPERAÇÃO DE PASSEIOS COM IMPLANTAÇÃO DE ACESSIBILIDADE EM VARIAS VIAS E LOCAIS DO RECIFE</v>
      </c>
      <c r="C27" s="19" t="str">
        <f>'[1]1º TRIMESTRE'!C27</f>
        <v>535346/2020</v>
      </c>
      <c r="D27" s="20" t="str">
        <f>'[1]1º TRIMESTRE'!D27</f>
        <v>FINISA</v>
      </c>
      <c r="E27" s="21">
        <f>'[1]1º TRIMESTRE'!E27</f>
        <v>94508747.5</v>
      </c>
      <c r="F27" s="21">
        <f>'[1]1º TRIMESTRE'!F27</f>
        <v>0</v>
      </c>
      <c r="G27" s="18" t="str">
        <f>'[1]1º TRIMESTRE'!G27</f>
        <v>03.608.944/0001-34</v>
      </c>
      <c r="H27" s="18" t="str">
        <f>'[1]1º TRIMESTRE'!H27</f>
        <v>JEPAC CONSTRUCOES LTDA</v>
      </c>
      <c r="I27" s="19" t="str">
        <f>'[1]1º TRIMESTRE'!I27</f>
        <v>6-018/21</v>
      </c>
      <c r="J27" s="22">
        <f>'[1]1º TRIMESTRE'!J27</f>
        <v>44361</v>
      </c>
      <c r="K27" s="19">
        <f>'[1]1º TRIMESTRE'!K27</f>
        <v>790</v>
      </c>
      <c r="L27" s="21">
        <f>'[1]1º TRIMESTRE'!L27</f>
        <v>6770337.1399999997</v>
      </c>
      <c r="M27" s="22">
        <f t="shared" si="0"/>
        <v>45151</v>
      </c>
      <c r="N27" s="19">
        <f>'[1]1º TRIMESTRE'!N27</f>
        <v>0</v>
      </c>
      <c r="O27" s="21">
        <f>'[1]1º TRIMESTRE'!O27+341797.95</f>
        <v>1203789.25</v>
      </c>
      <c r="P27" s="21">
        <f>'[1]1º TRIMESTRE'!P27</f>
        <v>952037.17</v>
      </c>
      <c r="Q27" s="19" t="str">
        <f>'[1]1º TRIMESTRE'!Q27</f>
        <v>3.3.90.39</v>
      </c>
      <c r="R27" s="21">
        <f>'[1]1º TRIMESTRE'!R27+388461.01</f>
        <v>4414434.12</v>
      </c>
      <c r="S27" s="21">
        <v>245899.42</v>
      </c>
      <c r="T27" s="21">
        <f>'[1]1º TRIMESTRE'!T27+S27</f>
        <v>245899.42</v>
      </c>
      <c r="U27" s="21">
        <f>'[1]1º TRIMESTRE'!U27+S27</f>
        <v>4025973.11</v>
      </c>
      <c r="V27" s="23" t="str">
        <f>'[1]1º TRIMESTRE'!V27</f>
        <v>andamento</v>
      </c>
      <c r="W27" s="24">
        <f t="shared" si="1"/>
        <v>-388461.01000000024</v>
      </c>
      <c r="X27" s="24">
        <v>388461.01</v>
      </c>
      <c r="Y27" s="24">
        <f t="shared" si="2"/>
        <v>0</v>
      </c>
      <c r="Z27" s="25" t="str">
        <f t="shared" si="3"/>
        <v>and</v>
      </c>
    </row>
    <row r="28" spans="1:27" ht="45">
      <c r="A28" s="18" t="str">
        <f>'[1]1º TRIMESTRE'!A28</f>
        <v>CONCORRÊNCIA / nº 021/2021</v>
      </c>
      <c r="B28" s="18" t="str">
        <f>'[1]1º TRIMESTRE'!B28</f>
        <v>CONTRATAÇÃO DE EMPRESA DE ENGENHARIA, ESPECIALIZADA EM ILUMINAÇÃO PÚBLICA, PARA FORNECIMENTO E INSTALAÇÃO DE LUMINÁRIAS RGB COM TECNOLOGIA LED E REDE ELÉTRICA, PARA ILUMINAÇÃO CÊNICA, DO TEATRO SANTA IZABEL BAIRRO SANTO ANTÔNIO</v>
      </c>
      <c r="C28" s="19" t="str">
        <f>'[1]1º TRIMESTRE'!C28</f>
        <v>532561/2020</v>
      </c>
      <c r="D28" s="20" t="str">
        <f>'[1]1º TRIMESTRE'!D28</f>
        <v>FINISA</v>
      </c>
      <c r="E28" s="21">
        <f>'[1]1º TRIMESTRE'!E28</f>
        <v>50000000</v>
      </c>
      <c r="F28" s="21">
        <f>'[1]1º TRIMESTRE'!F28</f>
        <v>0</v>
      </c>
      <c r="G28" s="18" t="str">
        <f>'[1]1º TRIMESTRE'!G28</f>
        <v>01.346.561/0001-00</v>
      </c>
      <c r="H28" s="18" t="str">
        <f>'[1]1º TRIMESTRE'!H28</f>
        <v>VASCONCELOS E SANTOS LTDA</v>
      </c>
      <c r="I28" s="19" t="str">
        <f>'[1]1º TRIMESTRE'!I28</f>
        <v>6-019/22</v>
      </c>
      <c r="J28" s="22">
        <f>'[1]1º TRIMESTRE'!J28</f>
        <v>44651</v>
      </c>
      <c r="K28" s="19">
        <f>'[1]1º TRIMESTRE'!K28</f>
        <v>150</v>
      </c>
      <c r="L28" s="21">
        <f>'[1]1º TRIMESTRE'!L28</f>
        <v>306496.2</v>
      </c>
      <c r="M28" s="22">
        <f t="shared" si="0"/>
        <v>45189</v>
      </c>
      <c r="N28" s="19">
        <f>'[1]1º TRIMESTRE'!N28</f>
        <v>388</v>
      </c>
      <c r="O28" s="21">
        <f>'[1]1º TRIMESTRE'!O28</f>
        <v>61103.6</v>
      </c>
      <c r="P28" s="21">
        <f>'[1]1º TRIMESTRE'!P28</f>
        <v>0</v>
      </c>
      <c r="Q28" s="19" t="str">
        <f>'[1]1º TRIMESTRE'!Q28</f>
        <v>4.4.90.39</v>
      </c>
      <c r="R28" s="21">
        <f>'[1]1º TRIMESTRE'!R28+69154.97</f>
        <v>69154.97</v>
      </c>
      <c r="S28" s="21">
        <v>69154.97</v>
      </c>
      <c r="T28" s="21">
        <f>'[1]1º TRIMESTRE'!T28+S28</f>
        <v>69154.97</v>
      </c>
      <c r="U28" s="21">
        <f>'[1]1º TRIMESTRE'!U28+S28</f>
        <v>69154.97</v>
      </c>
      <c r="V28" s="23" t="str">
        <f>'[1]1º TRIMESTRE'!V28</f>
        <v>andamento</v>
      </c>
      <c r="W28" s="24">
        <f t="shared" si="1"/>
        <v>0</v>
      </c>
      <c r="X28" s="24"/>
      <c r="Y28" s="24">
        <f t="shared" si="2"/>
        <v>0</v>
      </c>
      <c r="Z28" s="25" t="str">
        <f t="shared" si="3"/>
        <v>and</v>
      </c>
    </row>
    <row r="29" spans="1:27" ht="45">
      <c r="A29" s="18" t="str">
        <f>'[1]1º TRIMESTRE'!A29</f>
        <v>PREGÃO ELETRÔNICO Licitação: 006/2022</v>
      </c>
      <c r="B29" s="18" t="str">
        <f>'[1]1º TRIMESTRE'!B29</f>
        <v>CONTRATAÇÃO DE EMPRESA ESPECIALIZADA EM SERVIÇOS DE ENGENHARIA AGRONÔMICA COM FINS DE EXECUÇÃO DE SERVIÇOS DE MANUTENÇÃO DO ARBORETO URBANO DAS VIAS PÚBLICAS, PARQUES, PRAÇAS E DEMAIS ÁREAS VERDES DA CIDADE DO RECIFE</v>
      </c>
      <c r="C29" s="19">
        <f>'[1]1º TRIMESTRE'!C29</f>
        <v>0</v>
      </c>
      <c r="D29" s="20">
        <f>'[1]1º TRIMESTRE'!D29</f>
        <v>0</v>
      </c>
      <c r="E29" s="21">
        <f>'[1]1º TRIMESTRE'!E29</f>
        <v>0</v>
      </c>
      <c r="F29" s="21">
        <f>'[1]1º TRIMESTRE'!F29</f>
        <v>0</v>
      </c>
      <c r="G29" s="18" t="str">
        <f>'[1]1º TRIMESTRE'!G29</f>
        <v>00.449.936/0001-02</v>
      </c>
      <c r="H29" s="18" t="str">
        <f>'[1]1º TRIMESTRE'!H29</f>
        <v>ENGEMAIA E CIA LTDA</v>
      </c>
      <c r="I29" s="19" t="str">
        <f>'[1]1º TRIMESTRE'!I29</f>
        <v>6-020/22</v>
      </c>
      <c r="J29" s="22">
        <f>'[1]1º TRIMESTRE'!J29</f>
        <v>44678</v>
      </c>
      <c r="K29" s="19">
        <f>'[1]1º TRIMESTRE'!K29</f>
        <v>1216</v>
      </c>
      <c r="L29" s="21">
        <f>'[1]1º TRIMESTRE'!L29</f>
        <v>56414995.560000002</v>
      </c>
      <c r="M29" s="22">
        <f t="shared" si="0"/>
        <v>45894</v>
      </c>
      <c r="N29" s="19">
        <f>'[1]1º TRIMESTRE'!N29</f>
        <v>0</v>
      </c>
      <c r="O29" s="21">
        <f>'[1]1º TRIMESTRE'!O29</f>
        <v>0</v>
      </c>
      <c r="P29" s="21">
        <f>'[1]1º TRIMESTRE'!P29</f>
        <v>0</v>
      </c>
      <c r="Q29" s="19" t="str">
        <f>'[1]1º TRIMESTRE'!Q29</f>
        <v>3.3.90.39</v>
      </c>
      <c r="R29" s="21">
        <f>'[1]1º TRIMESTRE'!R29+5156283.42</f>
        <v>19060546.549999997</v>
      </c>
      <c r="S29" s="21">
        <v>5156283.42</v>
      </c>
      <c r="T29" s="21">
        <f>'[1]1º TRIMESTRE'!T29+S29</f>
        <v>8237694.2999999998</v>
      </c>
      <c r="U29" s="21">
        <f>'[1]1º TRIMESTRE'!U29+S29</f>
        <v>19060546.549999997</v>
      </c>
      <c r="V29" s="23" t="str">
        <f>'[1]1º TRIMESTRE'!V29</f>
        <v>andamento</v>
      </c>
      <c r="W29" s="24">
        <f t="shared" si="1"/>
        <v>0</v>
      </c>
      <c r="X29" s="24"/>
      <c r="Y29" s="24">
        <f t="shared" si="2"/>
        <v>0</v>
      </c>
      <c r="Z29" s="25" t="str">
        <f t="shared" si="3"/>
        <v>and</v>
      </c>
    </row>
    <row r="30" spans="1:27" ht="45">
      <c r="A30" s="18" t="str">
        <f>'[1]1º TRIMESTRE'!A30</f>
        <v>CONCORRÊNCIA Licitação: 002/2021</v>
      </c>
      <c r="B30" s="18" t="str">
        <f>'[1]1º TRIMESTRE'!B30</f>
        <v>RECUPERACAO DE ESCADARIAS. MUROS E CORRIMOES LOCALIZADAS NAS DIVERSAS NAS DIVERSAS REGIAO POLITICA ADMINISTRATIVA RPAS DA CIDADE DO RECIFE. DIVIDIDAS EM EM LOTES. LOTE I RPA 2; LOTE II RPA 3 E LOTE III RPA 4.5.6</v>
      </c>
      <c r="C30" s="19" t="str">
        <f>'[1]1º TRIMESTRE'!C30</f>
        <v>535346/2020 e 599406/2021</v>
      </c>
      <c r="D30" s="20" t="str">
        <f>'[1]1º TRIMESTRE'!D30</f>
        <v>FINISA</v>
      </c>
      <c r="E30" s="21">
        <f>'[1]1º TRIMESTRE'!E30</f>
        <v>113346677.56</v>
      </c>
      <c r="F30" s="21">
        <f>'[1]1º TRIMESTRE'!F30</f>
        <v>0</v>
      </c>
      <c r="G30" s="18" t="str">
        <f>'[1]1º TRIMESTRE'!G30</f>
        <v>11.523.068/0001-71</v>
      </c>
      <c r="H30" s="18" t="str">
        <f>'[1]1º TRIMESTRE'!H30</f>
        <v>CONSTRUTORA FAELLA LTDA EPP</v>
      </c>
      <c r="I30" s="19" t="str">
        <f>'[1]1º TRIMESTRE'!I30</f>
        <v>6-021/21</v>
      </c>
      <c r="J30" s="22">
        <f>'[1]1º TRIMESTRE'!J30</f>
        <v>44365</v>
      </c>
      <c r="K30" s="19">
        <f>'[1]1º TRIMESTRE'!K30</f>
        <v>790</v>
      </c>
      <c r="L30" s="21">
        <f>'[1]1º TRIMESTRE'!L30</f>
        <v>6226475.1799999997</v>
      </c>
      <c r="M30" s="22">
        <f t="shared" si="0"/>
        <v>45155</v>
      </c>
      <c r="N30" s="19">
        <f>'[1]1º TRIMESTRE'!N30</f>
        <v>0</v>
      </c>
      <c r="O30" s="21">
        <f>'[1]1º TRIMESTRE'!O30</f>
        <v>1556733.25</v>
      </c>
      <c r="P30" s="21">
        <f>'[1]1º TRIMESTRE'!P30</f>
        <v>870330.65</v>
      </c>
      <c r="Q30" s="19" t="str">
        <f>'[1]1º TRIMESTRE'!Q30</f>
        <v>3.3.90.39</v>
      </c>
      <c r="R30" s="21">
        <f>'[1]1º TRIMESTRE'!R30+474995.94</f>
        <v>7515547.9800000004</v>
      </c>
      <c r="S30" s="21">
        <v>979529.63</v>
      </c>
      <c r="T30" s="21">
        <f>'[1]1º TRIMESTRE'!T30+S30</f>
        <v>2410101.37</v>
      </c>
      <c r="U30" s="21">
        <f>'[1]1º TRIMESTRE'!U30+S30</f>
        <v>7515547.9800000004</v>
      </c>
      <c r="V30" s="23" t="str">
        <f>'[1]1º TRIMESTRE'!V30</f>
        <v>andamento</v>
      </c>
      <c r="W30" s="24">
        <f t="shared" si="1"/>
        <v>0</v>
      </c>
      <c r="X30" s="24"/>
      <c r="Y30" s="24">
        <f t="shared" si="2"/>
        <v>0</v>
      </c>
      <c r="Z30" s="25" t="str">
        <f t="shared" si="3"/>
        <v>and</v>
      </c>
    </row>
    <row r="31" spans="1:27" ht="45">
      <c r="A31" s="18" t="str">
        <f>'[1]1º TRIMESTRE'!A31</f>
        <v>CONCORRÊNCIA Licitação: 002/2021</v>
      </c>
      <c r="B31" s="18" t="str">
        <f>'[1]1º TRIMESTRE'!B31</f>
        <v>RECUPERACAO DE ESCADARIAS. MUROS E CORRIMOES LOCALIZADAS NAS DIVERSAS NAS DIVERSAS REGIAO POLITICA ADMINISTRATIVA RPAS DA CIDADE DO RECIFE. DIVIDIDAS EM EM LOTES. LOTE I RPA 2; LOTE II RPA 3 E LOTE III RPA 4.5.6</v>
      </c>
      <c r="C31" s="19" t="str">
        <f>'[1]1º TRIMESTRE'!C31</f>
        <v>535346/2020 e 599406/2021</v>
      </c>
      <c r="D31" s="20" t="str">
        <f>'[1]1º TRIMESTRE'!D31</f>
        <v>FINISA</v>
      </c>
      <c r="E31" s="21">
        <f>'[1]1º TRIMESTRE'!E31</f>
        <v>113346677.56</v>
      </c>
      <c r="F31" s="21">
        <f>'[1]1º TRIMESTRE'!F31</f>
        <v>0</v>
      </c>
      <c r="G31" s="18" t="str">
        <f>'[1]1º TRIMESTRE'!G31</f>
        <v>07.693.988/0001-60</v>
      </c>
      <c r="H31" s="18" t="str">
        <f>'[1]1º TRIMESTRE'!H31</f>
        <v>F R F ENGENHARIA LTDA</v>
      </c>
      <c r="I31" s="19" t="str">
        <f>'[1]1º TRIMESTRE'!I31</f>
        <v>6-022/21</v>
      </c>
      <c r="J31" s="22">
        <f>'[1]1º TRIMESTRE'!J31</f>
        <v>44365</v>
      </c>
      <c r="K31" s="19">
        <f>'[1]1º TRIMESTRE'!K31</f>
        <v>790</v>
      </c>
      <c r="L31" s="21">
        <f>'[1]1º TRIMESTRE'!L31</f>
        <v>9358982.3300000001</v>
      </c>
      <c r="M31" s="22">
        <f t="shared" si="0"/>
        <v>45155</v>
      </c>
      <c r="N31" s="19">
        <f>'[1]1º TRIMESTRE'!N31</f>
        <v>0</v>
      </c>
      <c r="O31" s="21">
        <f>'[1]1º TRIMESTRE'!O31</f>
        <v>2370992.9500000002</v>
      </c>
      <c r="P31" s="21">
        <f>'[1]1º TRIMESTRE'!P31</f>
        <v>1308009.78</v>
      </c>
      <c r="Q31" s="19" t="str">
        <f>'[1]1º TRIMESTRE'!Q31</f>
        <v>3.3.90.39</v>
      </c>
      <c r="R31" s="21">
        <f>'[1]1º TRIMESTRE'!R31+1096858.99</f>
        <v>11147283.08</v>
      </c>
      <c r="S31" s="21">
        <v>1901865.14</v>
      </c>
      <c r="T31" s="21">
        <f>'[1]1º TRIMESTRE'!T31+S31</f>
        <v>3885093.44</v>
      </c>
      <c r="U31" s="21">
        <f>'[1]1º TRIMESTRE'!U31+S31</f>
        <v>11147283.08</v>
      </c>
      <c r="V31" s="23" t="str">
        <f>'[1]1º TRIMESTRE'!V31</f>
        <v>andamento</v>
      </c>
      <c r="W31" s="24">
        <f t="shared" si="1"/>
        <v>0</v>
      </c>
      <c r="X31" s="24"/>
      <c r="Y31" s="24">
        <f t="shared" si="2"/>
        <v>0</v>
      </c>
      <c r="Z31" s="25" t="str">
        <f t="shared" si="3"/>
        <v>and</v>
      </c>
    </row>
    <row r="32" spans="1:27" ht="56.25">
      <c r="A32" s="18" t="str">
        <f>'[1]1º TRIMESTRE'!A32</f>
        <v>TOMADA DE PREÇOS Licitação: 001/2022</v>
      </c>
      <c r="B32" s="18" t="str">
        <f>'[1]1º TRIMESTRE'!B32</f>
        <v>REFORMA DE DOIS PRÉDIOS PÚBLICOS MANTIDOS PELA EMLURB, REFORMA COM AMPLIAÇÃO PARA IMPLANTAÇÃO DO SETOR DE FISCALIZAÇÃO STFI , 2 E 3, LOCALIZADA NA RUA JOUBERTE CARVALHO, CASA AMARELA E DIVISÃO DE FISCALIZAÇÃO DVFI 4 E 5 LOCALIZADO NO PARQUE DO CAIARA, AV. MAURÍCIO DE NASSAU, 68 IPUTINGA, RECIFE</v>
      </c>
      <c r="C32" s="19">
        <f>'[1]1º TRIMESTRE'!C32</f>
        <v>0</v>
      </c>
      <c r="D32" s="20">
        <f>'[1]1º TRIMESTRE'!D32</f>
        <v>0</v>
      </c>
      <c r="E32" s="21">
        <f>'[1]1º TRIMESTRE'!E32</f>
        <v>0</v>
      </c>
      <c r="F32" s="21">
        <f>'[1]1º TRIMESTRE'!F32</f>
        <v>0</v>
      </c>
      <c r="G32" s="18" t="str">
        <f>'[1]1º TRIMESTRE'!G32</f>
        <v>17.772.572/0001-91</v>
      </c>
      <c r="H32" s="18" t="str">
        <f>'[1]1º TRIMESTRE'!H32</f>
        <v>CARVALHO PONTES ENGENHARIA LTDA - EPP</v>
      </c>
      <c r="I32" s="19" t="str">
        <f>'[1]1º TRIMESTRE'!I32</f>
        <v>6-022/22</v>
      </c>
      <c r="J32" s="22">
        <f>'[1]1º TRIMESTRE'!J32</f>
        <v>44694</v>
      </c>
      <c r="K32" s="19">
        <f>'[1]1º TRIMESTRE'!K32</f>
        <v>240</v>
      </c>
      <c r="L32" s="21">
        <f>'[1]1º TRIMESTRE'!L32</f>
        <v>570270.67000000004</v>
      </c>
      <c r="M32" s="22">
        <f t="shared" si="0"/>
        <v>44934</v>
      </c>
      <c r="N32" s="19">
        <f>'[1]1º TRIMESTRE'!N32</f>
        <v>0</v>
      </c>
      <c r="O32" s="21">
        <f>'[1]1º TRIMESTRE'!O32</f>
        <v>0</v>
      </c>
      <c r="P32" s="21">
        <f>'[1]1º TRIMESTRE'!P32</f>
        <v>0</v>
      </c>
      <c r="Q32" s="19" t="str">
        <f>'[1]1º TRIMESTRE'!Q32</f>
        <v>4.4.90.39</v>
      </c>
      <c r="R32" s="21">
        <f>'[1]1º TRIMESTRE'!R32</f>
        <v>0</v>
      </c>
      <c r="S32" s="21"/>
      <c r="T32" s="21">
        <f>'[1]1º TRIMESTRE'!T32+S32</f>
        <v>0</v>
      </c>
      <c r="U32" s="21">
        <f>'[1]1º TRIMESTRE'!U32+S32</f>
        <v>0</v>
      </c>
      <c r="V32" s="23" t="s">
        <v>34</v>
      </c>
      <c r="W32" s="24">
        <f t="shared" si="1"/>
        <v>0</v>
      </c>
      <c r="X32" s="24"/>
      <c r="Y32" s="24">
        <f t="shared" si="2"/>
        <v>0</v>
      </c>
      <c r="Z32" s="25" t="str">
        <f t="shared" si="3"/>
        <v>enc</v>
      </c>
    </row>
    <row r="33" spans="1:27" ht="45">
      <c r="A33" s="18" t="str">
        <f>'[1]1º TRIMESTRE'!A33</f>
        <v>CONCORRÊNCIA Licitação: 002/2021</v>
      </c>
      <c r="B33" s="18" t="str">
        <f>'[1]1º TRIMESTRE'!B33</f>
        <v>RECUPERACAO DE ESCADARIAS. MUROS E CORRIMOES LOCALIZADAS NAS DIVERSAS NAS DIVERSAS REGIAO POLITICA ADMINISTRATIVA RPAS DA CIDADE DO RECIFE. DIVIDIDAS EM EM LOTES. LOTE I RPA 2; LOTE II RPA 3 E LOTE III RPA 4.5.6</v>
      </c>
      <c r="C33" s="19" t="str">
        <f>'[1]1º TRIMESTRE'!C33</f>
        <v>535346/2020 e 599406/2021</v>
      </c>
      <c r="D33" s="20" t="str">
        <f>'[1]1º TRIMESTRE'!D33</f>
        <v>FINISA</v>
      </c>
      <c r="E33" s="21">
        <f>'[1]1º TRIMESTRE'!E33</f>
        <v>113346677.56</v>
      </c>
      <c r="F33" s="21">
        <f>'[1]1º TRIMESTRE'!F33</f>
        <v>0</v>
      </c>
      <c r="G33" s="18" t="str">
        <f>'[1]1º TRIMESTRE'!G33</f>
        <v>10.811.370/0001-62</v>
      </c>
      <c r="H33" s="18" t="str">
        <f>'[1]1º TRIMESTRE'!H33</f>
        <v>GUERRA CONSTRUCOES LTDA</v>
      </c>
      <c r="I33" s="19" t="str">
        <f>'[1]1º TRIMESTRE'!I33</f>
        <v>6-023/21</v>
      </c>
      <c r="J33" s="22">
        <f>'[1]1º TRIMESTRE'!J33</f>
        <v>44365</v>
      </c>
      <c r="K33" s="19">
        <f>'[1]1º TRIMESTRE'!K33</f>
        <v>790</v>
      </c>
      <c r="L33" s="21">
        <f>'[1]1º TRIMESTRE'!L33</f>
        <v>7403917.6600000001</v>
      </c>
      <c r="M33" s="22">
        <f t="shared" si="0"/>
        <v>45155</v>
      </c>
      <c r="N33" s="19">
        <f>'[1]1º TRIMESTRE'!N33</f>
        <v>0</v>
      </c>
      <c r="O33" s="21">
        <f>'[1]1º TRIMESTRE'!O33</f>
        <v>1928721.8399999999</v>
      </c>
      <c r="P33" s="21">
        <f>'[1]1º TRIMESTRE'!P33</f>
        <v>1034795.64</v>
      </c>
      <c r="Q33" s="19" t="str">
        <f>'[1]1º TRIMESTRE'!Q33</f>
        <v>3.3.90.39</v>
      </c>
      <c r="R33" s="21">
        <f>'[1]1º TRIMESTRE'!R33+26042.9</f>
        <v>9446655.6400000006</v>
      </c>
      <c r="S33" s="21">
        <v>815589.07</v>
      </c>
      <c r="T33" s="21">
        <f>'[1]1º TRIMESTRE'!T33+S33</f>
        <v>2185301.91</v>
      </c>
      <c r="U33" s="21">
        <f>'[1]1º TRIMESTRE'!U33+S33</f>
        <v>9446655.6400000006</v>
      </c>
      <c r="V33" s="23" t="str">
        <f>'[1]1º TRIMESTRE'!V33</f>
        <v>andamento</v>
      </c>
      <c r="W33" s="24">
        <f t="shared" si="1"/>
        <v>0</v>
      </c>
      <c r="X33" s="24"/>
      <c r="Y33" s="24">
        <f t="shared" si="2"/>
        <v>0</v>
      </c>
      <c r="Z33" s="25" t="str">
        <f t="shared" si="3"/>
        <v>and</v>
      </c>
    </row>
    <row r="34" spans="1:27" ht="56.25">
      <c r="A34" s="18" t="str">
        <f>'[1]1º TRIMESTRE'!A34</f>
        <v>TOMADA DE PREÇOS Licitação: 003/2022</v>
      </c>
      <c r="B34" s="18" t="str">
        <f>'[1]1º TRIMESTRE'!B34</f>
        <v>CONTRATAÇÃO DE EMPRESA ESPECIALIZADA NO RAMO DE ENGENHARIA PARA EXECUÇÃO DOS SERVIÇOS DE REQUALIFICAÇÃO DA PRAÇA ABELARDO BALTAR, PRAÇA BRASILIA FORMOSA E PRAÇA SÃO PEDRO LOCALIZADAS NA CIDADE DO RECIFE PE, DE ACORDO COM AS NORMAS PREVISTAS NESTE PROJETO BÁSICO E NA PLANILHA ORÇAMENTÁRIA</v>
      </c>
      <c r="C34" s="19">
        <f>'[1]1º TRIMESTRE'!C34</f>
        <v>0</v>
      </c>
      <c r="D34" s="20">
        <f>'[1]1º TRIMESTRE'!D34</f>
        <v>0</v>
      </c>
      <c r="E34" s="21">
        <f>'[1]1º TRIMESTRE'!E34</f>
        <v>0</v>
      </c>
      <c r="F34" s="21">
        <f>'[1]1º TRIMESTRE'!F34</f>
        <v>0</v>
      </c>
      <c r="G34" s="18" t="str">
        <f>'[1]1º TRIMESTRE'!G34</f>
        <v>10.893.105/0001-70</v>
      </c>
      <c r="H34" s="18" t="str">
        <f>'[1]1º TRIMESTRE'!H34</f>
        <v>AGILIS CONSTRUTORA LTDA</v>
      </c>
      <c r="I34" s="19" t="str">
        <f>'[1]1º TRIMESTRE'!I34</f>
        <v>6-023/22</v>
      </c>
      <c r="J34" s="22">
        <f>'[1]1º TRIMESTRE'!J34</f>
        <v>44713</v>
      </c>
      <c r="K34" s="19">
        <f>'[1]1º TRIMESTRE'!K34</f>
        <v>180</v>
      </c>
      <c r="L34" s="21">
        <f>'[1]1º TRIMESTRE'!L34</f>
        <v>157510.07999999999</v>
      </c>
      <c r="M34" s="22">
        <f t="shared" si="0"/>
        <v>44893</v>
      </c>
      <c r="N34" s="19">
        <f>'[1]1º TRIMESTRE'!N34</f>
        <v>0</v>
      </c>
      <c r="O34" s="21">
        <f>'[1]1º TRIMESTRE'!O34</f>
        <v>0</v>
      </c>
      <c r="P34" s="21">
        <f>'[1]1º TRIMESTRE'!P34</f>
        <v>-510.9</v>
      </c>
      <c r="Q34" s="19" t="str">
        <f>'[1]1º TRIMESTRE'!Q34</f>
        <v>4.4.90.39</v>
      </c>
      <c r="R34" s="21">
        <f>'[1]1º TRIMESTRE'!R34</f>
        <v>0</v>
      </c>
      <c r="S34" s="21"/>
      <c r="T34" s="21">
        <f>'[1]1º TRIMESTRE'!T34+S34</f>
        <v>0</v>
      </c>
      <c r="U34" s="21">
        <f>'[1]1º TRIMESTRE'!U34+S34</f>
        <v>0</v>
      </c>
      <c r="V34" s="23" t="str">
        <f>'[1]1º TRIMESTRE'!V34</f>
        <v>andamento</v>
      </c>
      <c r="W34" s="24">
        <f t="shared" si="1"/>
        <v>0</v>
      </c>
      <c r="X34" s="24"/>
      <c r="Y34" s="24">
        <f t="shared" si="2"/>
        <v>0</v>
      </c>
      <c r="Z34" s="25" t="str">
        <f t="shared" si="3"/>
        <v>enc</v>
      </c>
    </row>
    <row r="35" spans="1:27" ht="45">
      <c r="A35" s="18" t="str">
        <f>'[1]1º TRIMESTRE'!A35</f>
        <v>CONCORRÊNCIA Licitação:    004/2019</v>
      </c>
      <c r="B35" s="18" t="str">
        <f>'[1]1º TRIMESTRE'!B35</f>
        <v>SERVIÇOS COMPLEMENTARES DE LIMPEZA URBANA EM ÁREAS PLANAS E DE TALUDE E SERVIÇOS DE MANUTENÇÃO CONTÍNUA PREVENTIVA E CORRETIVA DA ARBORIZAÇÃO URBANA EM MORROS, INCLUINDO A LOCAÇÃO DE VEÍCULOS E EQUIPAMENTOS.</v>
      </c>
      <c r="C35" s="19">
        <f>'[1]1º TRIMESTRE'!C35</f>
        <v>0</v>
      </c>
      <c r="D35" s="20">
        <f>'[1]1º TRIMESTRE'!D35</f>
        <v>0</v>
      </c>
      <c r="E35" s="21">
        <f>'[1]1º TRIMESTRE'!E35</f>
        <v>0</v>
      </c>
      <c r="F35" s="21">
        <f>'[1]1º TRIMESTRE'!F35</f>
        <v>0</v>
      </c>
      <c r="G35" s="18" t="str">
        <f>'[1]1º TRIMESTRE'!G35</f>
        <v>40.884.405/0001-54</v>
      </c>
      <c r="H35" s="18" t="str">
        <f>'[1]1º TRIMESTRE'!H35</f>
        <v>LOQUIPE LOCACAO DE EQUIPAMENTOS E MAO DE OBRA LTDA</v>
      </c>
      <c r="I35" s="19" t="str">
        <f>'[1]1º TRIMESTRE'!I35</f>
        <v>6-024/19</v>
      </c>
      <c r="J35" s="22">
        <f>'[1]1º TRIMESTRE'!J35</f>
        <v>43633</v>
      </c>
      <c r="K35" s="19">
        <f>'[1]1º TRIMESTRE'!K35</f>
        <v>395</v>
      </c>
      <c r="L35" s="21">
        <f>'[1]1º TRIMESTRE'!L35</f>
        <v>12390281.279999999</v>
      </c>
      <c r="M35" s="22">
        <f t="shared" si="0"/>
        <v>45123</v>
      </c>
      <c r="N35" s="19">
        <f>'[1]1º TRIMESTRE'!N35</f>
        <v>1095</v>
      </c>
      <c r="O35" s="21">
        <f>'[1]1º TRIMESTRE'!O35</f>
        <v>42968949.840000004</v>
      </c>
      <c r="P35" s="21">
        <f>'[1]1º TRIMESTRE'!P35</f>
        <v>2473711.6800000002</v>
      </c>
      <c r="Q35" s="19" t="str">
        <f>'[1]1º TRIMESTRE'!Q35</f>
        <v>3.3.90.39</v>
      </c>
      <c r="R35" s="21">
        <f>'[1]1º TRIMESTRE'!R35+2742073.64</f>
        <v>36239512.149999999</v>
      </c>
      <c r="S35" s="21">
        <v>2742073.64</v>
      </c>
      <c r="T35" s="21">
        <f>'[1]1º TRIMESTRE'!T35+S35</f>
        <v>5485076.1699999999</v>
      </c>
      <c r="U35" s="21">
        <f>'[1]1º TRIMESTRE'!U35+S35</f>
        <v>36239512.149999999</v>
      </c>
      <c r="V35" s="23" t="str">
        <f>'[1]1º TRIMESTRE'!V35</f>
        <v>andamento</v>
      </c>
      <c r="W35" s="24">
        <f t="shared" si="1"/>
        <v>0</v>
      </c>
      <c r="X35" s="24"/>
      <c r="Y35" s="24">
        <f t="shared" si="2"/>
        <v>0</v>
      </c>
      <c r="Z35" s="25" t="str">
        <f t="shared" si="3"/>
        <v>and</v>
      </c>
    </row>
    <row r="36" spans="1:27" ht="22.5">
      <c r="A36" s="18" t="str">
        <f>'[1]1º TRIMESTRE'!A36</f>
        <v>PREGÃO ELETRÔNICO Licitação: 010/2022</v>
      </c>
      <c r="B36" s="18" t="str">
        <f>'[1]1º TRIMESTRE'!B36</f>
        <v>REQUALIFICAÇÃO DO PARQUE APIPUCOS E DO SEU ENTORNO</v>
      </c>
      <c r="C36" s="19" t="s">
        <v>35</v>
      </c>
      <c r="D36" s="20" t="s">
        <v>36</v>
      </c>
      <c r="E36" s="21">
        <f>'[1]1º TRIMESTRE'!E36</f>
        <v>0</v>
      </c>
      <c r="F36" s="21">
        <f>'[1]1º TRIMESTRE'!F36</f>
        <v>0</v>
      </c>
      <c r="G36" s="18" t="str">
        <f>'[1]1º TRIMESTRE'!G36</f>
        <v>41.116.138/0001-38</v>
      </c>
      <c r="H36" s="18" t="str">
        <f>'[1]1º TRIMESTRE'!H36</f>
        <v>REAL ENERGY LTDA</v>
      </c>
      <c r="I36" s="19" t="str">
        <f>'[1]1º TRIMESTRE'!I36</f>
        <v>6-024/22</v>
      </c>
      <c r="J36" s="22">
        <f>'[1]1º TRIMESTRE'!J36</f>
        <v>44697</v>
      </c>
      <c r="K36" s="19">
        <f>'[1]1º TRIMESTRE'!K36</f>
        <v>210</v>
      </c>
      <c r="L36" s="21">
        <f>'[1]1º TRIMESTRE'!L36</f>
        <v>1951428.17</v>
      </c>
      <c r="M36" s="22">
        <f t="shared" si="0"/>
        <v>45057</v>
      </c>
      <c r="N36" s="19">
        <f>'[1]1º TRIMESTRE'!N36+60</f>
        <v>150</v>
      </c>
      <c r="O36" s="21">
        <f>'[1]1º TRIMESTRE'!O36</f>
        <v>161502.12</v>
      </c>
      <c r="P36" s="21">
        <f>'[1]1º TRIMESTRE'!P36</f>
        <v>0</v>
      </c>
      <c r="Q36" s="19" t="str">
        <f>'[1]1º TRIMESTRE'!Q36</f>
        <v>4.4.90.39</v>
      </c>
      <c r="R36" s="21">
        <f>'[1]1º TRIMESTRE'!R36+129538.48</f>
        <v>657403.5</v>
      </c>
      <c r="S36" s="21">
        <v>129538.48</v>
      </c>
      <c r="T36" s="21">
        <f>'[1]1º TRIMESTRE'!T36+S36</f>
        <v>489865.77999999997</v>
      </c>
      <c r="U36" s="21">
        <f>'[1]1º TRIMESTRE'!U36+S36</f>
        <v>657403.5</v>
      </c>
      <c r="V36" s="23" t="str">
        <f>'[1]1º TRIMESTRE'!V36</f>
        <v>andamento</v>
      </c>
      <c r="W36" s="24">
        <f t="shared" si="1"/>
        <v>0</v>
      </c>
      <c r="X36" s="24"/>
      <c r="Y36" s="24">
        <f t="shared" si="2"/>
        <v>0</v>
      </c>
      <c r="Z36" s="25" t="str">
        <f t="shared" si="3"/>
        <v>enc</v>
      </c>
    </row>
    <row r="37" spans="1:27" ht="56.25">
      <c r="A37" s="18" t="str">
        <f>'[1]1º TRIMESTRE'!A37</f>
        <v>CONCORRÊNCIA Licitação: 003/2022</v>
      </c>
      <c r="B37" s="18" t="str">
        <f>'[1]1º TRIMESTRE'!B37</f>
        <v>CONTRATAÇÃO DE EMPRESA DE ENGENHARIA, ESPECIALIZADA EM ILUMINAÇÃO PÚBLICA, PARA FORNECIMENTO E INSTAÇÃO DE LUMINARIAS COM TECNOLOGIA LED, COMPATÍVEIS COM SISTEMA DE TELEGESTÃO E REDE ELÉTRICA, PARA ILUMINAÇÃO PÚBLICA DA BR 101, NO TRECHO COMPREENDIDO ENTRE OS KM 69 E KM 78 E OS KM 62 E KM 58</v>
      </c>
      <c r="C37" s="19">
        <f>'[1]1º TRIMESTRE'!C37</f>
        <v>0</v>
      </c>
      <c r="D37" s="20">
        <f>'[1]1º TRIMESTRE'!D37</f>
        <v>0</v>
      </c>
      <c r="E37" s="21">
        <f>'[1]1º TRIMESTRE'!E37</f>
        <v>0</v>
      </c>
      <c r="F37" s="21">
        <f>'[1]1º TRIMESTRE'!F37</f>
        <v>0</v>
      </c>
      <c r="G37" s="18" t="str">
        <f>'[1]1º TRIMESTRE'!G37</f>
        <v>01.346.561/0001-00</v>
      </c>
      <c r="H37" s="18" t="str">
        <f>'[1]1º TRIMESTRE'!H37</f>
        <v>VASCONCELOS E SANTOS LTDA</v>
      </c>
      <c r="I37" s="19" t="str">
        <f>'[1]1º TRIMESTRE'!I37</f>
        <v>6-025/22</v>
      </c>
      <c r="J37" s="22">
        <f>'[1]1º TRIMESTRE'!J37</f>
        <v>44691</v>
      </c>
      <c r="K37" s="19">
        <f>'[1]1º TRIMESTRE'!K37</f>
        <v>395</v>
      </c>
      <c r="L37" s="21">
        <f>'[1]1º TRIMESTRE'!L37</f>
        <v>4795564.07</v>
      </c>
      <c r="M37" s="22">
        <f t="shared" si="0"/>
        <v>45266</v>
      </c>
      <c r="N37" s="19">
        <f>'[1]1º TRIMESTRE'!N37+180</f>
        <v>180</v>
      </c>
      <c r="O37" s="21">
        <f>'[1]1º TRIMESTRE'!O37</f>
        <v>0</v>
      </c>
      <c r="P37" s="21">
        <f>'[1]1º TRIMESTRE'!P37</f>
        <v>0</v>
      </c>
      <c r="Q37" s="19" t="str">
        <f>'[1]1º TRIMESTRE'!Q37</f>
        <v>4.4.90.39</v>
      </c>
      <c r="R37" s="21">
        <f>'[1]1º TRIMESTRE'!R37+1310823.29</f>
        <v>1853415.06</v>
      </c>
      <c r="S37" s="21">
        <v>1799357.12</v>
      </c>
      <c r="T37" s="21">
        <f>'[1]1º TRIMESTRE'!T37+S37</f>
        <v>1853415.06</v>
      </c>
      <c r="U37" s="21">
        <f>'[1]1º TRIMESTRE'!U37+S37</f>
        <v>1853415.06</v>
      </c>
      <c r="V37" s="23" t="str">
        <f>'[1]1º TRIMESTRE'!V37</f>
        <v>andamento</v>
      </c>
      <c r="W37" s="24">
        <f t="shared" si="1"/>
        <v>0</v>
      </c>
      <c r="X37" s="24"/>
      <c r="Y37" s="24">
        <f t="shared" si="2"/>
        <v>0</v>
      </c>
      <c r="Z37" s="25" t="str">
        <f t="shared" si="3"/>
        <v>and</v>
      </c>
    </row>
    <row r="38" spans="1:27" ht="33.75">
      <c r="A38" s="18" t="str">
        <f>'[1]1º TRIMESTRE'!A38</f>
        <v>CONCORRÊNCIA Licitação: 007/2021</v>
      </c>
      <c r="B38" s="18" t="str">
        <f>'[1]1º TRIMESTRE'!B38</f>
        <v>CONTRATAÇÃO DE EMPRESA ESPECIALIZADA EM ENGENHARIA PARA ELABORAÇÃO E READEQUAÇÃO DE PROJETOS EXECUTIVOS DE INFRAESTRUTURADA URBANA, PARA AS VIAS DA CIDADE DO RECIFE</v>
      </c>
      <c r="C38" s="19" t="str">
        <f>'[1]1º TRIMESTRE'!C38</f>
        <v>40.00017-6</v>
      </c>
      <c r="D38" s="20" t="str">
        <f>'[1]1º TRIMESTRE'!D38</f>
        <v>BANCO DO BRASIL</v>
      </c>
      <c r="E38" s="21">
        <f>'[1]1º TRIMESTRE'!E38</f>
        <v>0</v>
      </c>
      <c r="F38" s="21">
        <f>'[1]1º TRIMESTRE'!F38</f>
        <v>0</v>
      </c>
      <c r="G38" s="18" t="str">
        <f>'[1]1º TRIMESTRE'!G38</f>
        <v>70.073.275/0001-30</v>
      </c>
      <c r="H38" s="18" t="str">
        <f>'[1]1º TRIMESTRE'!H38</f>
        <v>GEOSISTEMAS ENGENHARIA E PLANEJAMENTO LTDA</v>
      </c>
      <c r="I38" s="19" t="str">
        <f>'[1]1º TRIMESTRE'!I38</f>
        <v>6-027/22</v>
      </c>
      <c r="J38" s="22">
        <f>'[1]1º TRIMESTRE'!J38</f>
        <v>44732</v>
      </c>
      <c r="K38" s="19">
        <f>'[1]1º TRIMESTRE'!K38</f>
        <v>210</v>
      </c>
      <c r="L38" s="21">
        <f>'[1]1º TRIMESTRE'!L38</f>
        <v>664493.28</v>
      </c>
      <c r="M38" s="22">
        <f t="shared" si="0"/>
        <v>45152</v>
      </c>
      <c r="N38" s="19">
        <f>'[1]1º TRIMESTRE'!N38+90</f>
        <v>210</v>
      </c>
      <c r="O38" s="21">
        <f>'[1]1º TRIMESTRE'!O38</f>
        <v>0</v>
      </c>
      <c r="P38" s="21">
        <f>'[1]1º TRIMESTRE'!P38</f>
        <v>0</v>
      </c>
      <c r="Q38" s="19" t="str">
        <f>'[1]1º TRIMESTRE'!Q38</f>
        <v>4.4.90.39</v>
      </c>
      <c r="R38" s="21">
        <f>'[1]1º TRIMESTRE'!R38+163504.63</f>
        <v>300633.07</v>
      </c>
      <c r="S38" s="21">
        <v>163504.63</v>
      </c>
      <c r="T38" s="21">
        <f>'[1]1º TRIMESTRE'!T38+S38</f>
        <v>201112.99</v>
      </c>
      <c r="U38" s="21">
        <f>'[1]1º TRIMESTRE'!U38+S38</f>
        <v>300633.07</v>
      </c>
      <c r="V38" s="23" t="str">
        <f>'[1]1º TRIMESTRE'!V38</f>
        <v>andamento</v>
      </c>
      <c r="W38" s="24">
        <f t="shared" si="1"/>
        <v>0</v>
      </c>
      <c r="X38" s="24"/>
      <c r="Y38" s="24">
        <f t="shared" si="2"/>
        <v>0</v>
      </c>
      <c r="Z38" s="25" t="str">
        <f t="shared" si="3"/>
        <v>and</v>
      </c>
    </row>
    <row r="39" spans="1:27" ht="33.75">
      <c r="A39" s="18" t="str">
        <f>'[1]1º TRIMESTRE'!A39</f>
        <v>CONCORRÊNCIA Licitação: 016/2020</v>
      </c>
      <c r="B39" s="18" t="str">
        <f>'[1]1º TRIMESTRE'!B39</f>
        <v>EXECUÇÃO DE SERVIÇOS DE REQUALIFICAÇÃO MANUTENÇÃO PREVENTIVA E CORRETIVA DE PRAÇAS, PARQUES E ÁREAS VERDES CANTEIROS DE AVENIDAS E REFÚGIOS DA CIDADE DO RECIFE RPAS 1,2 E 3</v>
      </c>
      <c r="C39" s="19">
        <f>'[1]1º TRIMESTRE'!C39</f>
        <v>0</v>
      </c>
      <c r="D39" s="20">
        <f>'[1]1º TRIMESTRE'!D39</f>
        <v>0</v>
      </c>
      <c r="E39" s="21">
        <f>'[1]1º TRIMESTRE'!E39</f>
        <v>0</v>
      </c>
      <c r="F39" s="21">
        <f>'[1]1º TRIMESTRE'!F39</f>
        <v>0</v>
      </c>
      <c r="G39" s="18" t="str">
        <f>'[1]1º TRIMESTRE'!G39</f>
        <v>05.625.079/0001-60</v>
      </c>
      <c r="H39" s="18" t="str">
        <f>'[1]1º TRIMESTRE'!H39</f>
        <v xml:space="preserve">CONSTRUTORA MARDIFI LTDA - EPP </v>
      </c>
      <c r="I39" s="19" t="str">
        <f>'[1]1º TRIMESTRE'!I39</f>
        <v>6-028/21</v>
      </c>
      <c r="J39" s="22">
        <f>'[1]1º TRIMESTRE'!J39</f>
        <v>44391</v>
      </c>
      <c r="K39" s="19">
        <f>'[1]1º TRIMESTRE'!K39</f>
        <v>790</v>
      </c>
      <c r="L39" s="21">
        <f>'[1]1º TRIMESTRE'!L39</f>
        <v>5538433.2699999996</v>
      </c>
      <c r="M39" s="22">
        <f t="shared" si="0"/>
        <v>45181</v>
      </c>
      <c r="N39" s="19">
        <f>'[1]1º TRIMESTRE'!N39</f>
        <v>0</v>
      </c>
      <c r="O39" s="21">
        <f>'[1]1º TRIMESTRE'!O39</f>
        <v>1123031.08</v>
      </c>
      <c r="P39" s="21">
        <f>'[1]1º TRIMESTRE'!P39</f>
        <v>969699.25</v>
      </c>
      <c r="Q39" s="19" t="str">
        <f>'[1]1º TRIMESTRE'!Q39</f>
        <v>3.3.90.39</v>
      </c>
      <c r="R39" s="21">
        <f>'[1]1º TRIMESTRE'!R39+399472.31</f>
        <v>5058892.459999999</v>
      </c>
      <c r="S39" s="21">
        <v>399472.31</v>
      </c>
      <c r="T39" s="21">
        <f>'[1]1º TRIMESTRE'!T39+S39</f>
        <v>1547908.6500000001</v>
      </c>
      <c r="U39" s="21">
        <f>'[1]1º TRIMESTRE'!U39+S39</f>
        <v>5058892.46</v>
      </c>
      <c r="V39" s="23" t="str">
        <f>'[1]1º TRIMESTRE'!V39</f>
        <v>andamento</v>
      </c>
      <c r="W39" s="24">
        <f t="shared" si="1"/>
        <v>0</v>
      </c>
      <c r="X39" s="24"/>
      <c r="Y39" s="24">
        <f t="shared" si="2"/>
        <v>0</v>
      </c>
      <c r="Z39" s="25" t="str">
        <f t="shared" si="3"/>
        <v>and</v>
      </c>
    </row>
    <row r="40" spans="1:27" ht="33.75">
      <c r="A40" s="18" t="str">
        <f>'[1]1º TRIMESTRE'!A40</f>
        <v>CONCORRÊNCIA Licitação: 007/2021</v>
      </c>
      <c r="B40" s="18" t="str">
        <f>'[1]1º TRIMESTRE'!B40</f>
        <v>CONTRATAÇÃO DE EMPRESA ESPECIALIZADA EM ENGENHARIA PARA ELABORAÇÃO E READEQUAÇÃO DE PROJETOS EXECUTIVOS DE INFRAESTRUTURADA URBANA, PARA AS VIAS DA CIDADE DO RECIFE</v>
      </c>
      <c r="C40" s="19" t="str">
        <f>'[1]1º TRIMESTRE'!C40</f>
        <v>40.00017-6</v>
      </c>
      <c r="D40" s="20" t="str">
        <f>'[1]1º TRIMESTRE'!D40</f>
        <v>BANCO DO BRASIL</v>
      </c>
      <c r="E40" s="21">
        <f>'[1]1º TRIMESTRE'!E40</f>
        <v>0</v>
      </c>
      <c r="F40" s="21">
        <f>'[1]1º TRIMESTRE'!F40</f>
        <v>0</v>
      </c>
      <c r="G40" s="18" t="str">
        <f>'[1]1º TRIMESTRE'!G40</f>
        <v>17.883.268/0001-11</v>
      </c>
      <c r="H40" s="18" t="str">
        <f>'[1]1º TRIMESTRE'!H40</f>
        <v>WRC SOLUCOES - PROJETOS, GEODESIA E CONSTRUÇÃO LTDA</v>
      </c>
      <c r="I40" s="19" t="str">
        <f>'[1]1º TRIMESTRE'!I40</f>
        <v>6-028/22</v>
      </c>
      <c r="J40" s="22">
        <f>'[1]1º TRIMESTRE'!J40</f>
        <v>44714</v>
      </c>
      <c r="K40" s="19">
        <f>'[1]1º TRIMESTRE'!K40</f>
        <v>360</v>
      </c>
      <c r="L40" s="21">
        <f>'[1]1º TRIMESTRE'!L40</f>
        <v>1688150.08</v>
      </c>
      <c r="M40" s="22">
        <f t="shared" si="0"/>
        <v>45224</v>
      </c>
      <c r="N40" s="19">
        <f>'[1]1º TRIMESTRE'!N40+150</f>
        <v>150</v>
      </c>
      <c r="O40" s="21">
        <f>'[1]1º TRIMESTRE'!O40</f>
        <v>0</v>
      </c>
      <c r="P40" s="21">
        <f>'[1]1º TRIMESTRE'!P40</f>
        <v>0</v>
      </c>
      <c r="Q40" s="19" t="str">
        <f>'[1]1º TRIMESTRE'!Q40</f>
        <v>4.4.90.39</v>
      </c>
      <c r="R40" s="21">
        <f>'[1]1º TRIMESTRE'!R40+223330.66</f>
        <v>495156.70000000007</v>
      </c>
      <c r="S40" s="21">
        <v>173334.08</v>
      </c>
      <c r="T40" s="21">
        <f>'[1]1º TRIMESTRE'!T40+S40</f>
        <v>290751.3</v>
      </c>
      <c r="U40" s="21">
        <f>'[1]1º TRIMESTRE'!U40+S40</f>
        <v>445160.12</v>
      </c>
      <c r="V40" s="23" t="str">
        <f>'[1]1º TRIMESTRE'!V40</f>
        <v>andamento</v>
      </c>
      <c r="W40" s="24">
        <f t="shared" si="1"/>
        <v>-49996.580000000075</v>
      </c>
      <c r="X40" s="24">
        <v>49996.58</v>
      </c>
      <c r="Y40" s="24">
        <f t="shared" si="2"/>
        <v>-7.2759576141834259E-11</v>
      </c>
      <c r="Z40" s="25" t="str">
        <f t="shared" si="3"/>
        <v>and</v>
      </c>
    </row>
    <row r="41" spans="1:27" ht="22.5">
      <c r="A41" s="18" t="str">
        <f>'[1]1º TRIMESTRE'!A41</f>
        <v>CONCORRÊNCIA Licitação: 002/2020</v>
      </c>
      <c r="B41" s="18" t="str">
        <f>'[1]1º TRIMESTRE'!B41</f>
        <v>CONTRATAÇÃO DOS SERVIÇOS DE MANUTENÇÃO CORRETIVA DO SISTEMA VIÁRIO DO RECIFE RPA 01</v>
      </c>
      <c r="C41" s="19">
        <f>'[1]1º TRIMESTRE'!C41</f>
        <v>0</v>
      </c>
      <c r="D41" s="20">
        <f>'[1]1º TRIMESTRE'!D41</f>
        <v>0</v>
      </c>
      <c r="E41" s="21">
        <f>'[1]1º TRIMESTRE'!E41</f>
        <v>0</v>
      </c>
      <c r="F41" s="21">
        <f>'[1]1º TRIMESTRE'!F41</f>
        <v>0</v>
      </c>
      <c r="G41" s="18" t="str">
        <f>'[1]1º TRIMESTRE'!G41</f>
        <v>23.742.620/0001-00</v>
      </c>
      <c r="H41" s="18" t="str">
        <f>'[1]1º TRIMESTRE'!H41</f>
        <v>INSTTALE ENGENHARIA LTDA</v>
      </c>
      <c r="I41" s="19" t="str">
        <f>'[1]1º TRIMESTRE'!I41</f>
        <v>6-029/20</v>
      </c>
      <c r="J41" s="22">
        <f>'[1]1º TRIMESTRE'!J41</f>
        <v>44105</v>
      </c>
      <c r="K41" s="19">
        <f>'[1]1º TRIMESTRE'!K41</f>
        <v>760</v>
      </c>
      <c r="L41" s="21">
        <f>'[1]1º TRIMESTRE'!L41</f>
        <v>6329253.0300000003</v>
      </c>
      <c r="M41" s="22">
        <f t="shared" si="0"/>
        <v>44927</v>
      </c>
      <c r="N41" s="19">
        <f>'[1]1º TRIMESTRE'!N41</f>
        <v>62</v>
      </c>
      <c r="O41" s="21">
        <f>'[1]1º TRIMESTRE'!O41</f>
        <v>969313.04</v>
      </c>
      <c r="P41" s="21">
        <f>'[1]1º TRIMESTRE'!P41</f>
        <v>707143.97</v>
      </c>
      <c r="Q41" s="19" t="str">
        <f>'[1]1º TRIMESTRE'!Q41</f>
        <v>3.3.90.39</v>
      </c>
      <c r="R41" s="21">
        <f>'[1]1º TRIMESTRE'!R41</f>
        <v>5329104.37</v>
      </c>
      <c r="S41" s="21"/>
      <c r="T41" s="21">
        <f>'[1]1º TRIMESTRE'!T41+S41</f>
        <v>158838.35</v>
      </c>
      <c r="U41" s="21">
        <f>'[1]1º TRIMESTRE'!U41+S41</f>
        <v>5329104.3699999992</v>
      </c>
      <c r="V41" s="23" t="str">
        <f>'[1]1º TRIMESTRE'!V41</f>
        <v>encerrado</v>
      </c>
      <c r="W41" s="24">
        <f t="shared" si="1"/>
        <v>0</v>
      </c>
      <c r="X41" s="24"/>
      <c r="Y41" s="24">
        <f t="shared" si="2"/>
        <v>0</v>
      </c>
      <c r="Z41" s="25" t="str">
        <f t="shared" si="3"/>
        <v>enc</v>
      </c>
    </row>
    <row r="42" spans="1:27" ht="33.75">
      <c r="A42" s="18" t="str">
        <f>'[1]1º TRIMESTRE'!A42</f>
        <v>CONCORRÊNCIA Licitação: 016/2020</v>
      </c>
      <c r="B42" s="18" t="str">
        <f>'[1]1º TRIMESTRE'!B42</f>
        <v>EXECUÇÃO DE SERVIÇOS DE REQUALIFICAÇÃO MANUTENÇÃO PREVENTIVA E CORRETIVA DE PRAÇAS, PARQUES E ÁREAS VERDES CANTEIROS DE AVENIDAS E REFÚGIOS DA CIDADE DO RECIFE RPAS 4,5 E 6</v>
      </c>
      <c r="C42" s="19">
        <f>'[1]1º TRIMESTRE'!C42</f>
        <v>0</v>
      </c>
      <c r="D42" s="20">
        <f>'[1]1º TRIMESTRE'!D42</f>
        <v>0</v>
      </c>
      <c r="E42" s="21">
        <f>'[1]1º TRIMESTRE'!E42</f>
        <v>0</v>
      </c>
      <c r="F42" s="21">
        <f>'[1]1º TRIMESTRE'!F42</f>
        <v>0</v>
      </c>
      <c r="G42" s="18" t="str">
        <f>'[1]1º TRIMESTRE'!G42</f>
        <v>10.698.641/0001-15</v>
      </c>
      <c r="H42" s="18" t="str">
        <f>'[1]1º TRIMESTRE'!H42</f>
        <v>CONSTRUTORA MASTER EIRELI ME</v>
      </c>
      <c r="I42" s="19" t="str">
        <f>'[1]1º TRIMESTRE'!I42</f>
        <v>6-029/21</v>
      </c>
      <c r="J42" s="22">
        <f>'[1]1º TRIMESTRE'!J42</f>
        <v>44391</v>
      </c>
      <c r="K42" s="19">
        <f>'[1]1º TRIMESTRE'!K42</f>
        <v>790</v>
      </c>
      <c r="L42" s="21">
        <f>'[1]1º TRIMESTRE'!L42</f>
        <v>6400029.5199999996</v>
      </c>
      <c r="M42" s="22">
        <f t="shared" si="0"/>
        <v>45181</v>
      </c>
      <c r="N42" s="19">
        <f>'[1]1º TRIMESTRE'!N42</f>
        <v>0</v>
      </c>
      <c r="O42" s="21">
        <f>'[1]1º TRIMESTRE'!O42</f>
        <v>1599212.75</v>
      </c>
      <c r="P42" s="21">
        <f>'[1]1º TRIMESTRE'!P42</f>
        <v>1120494.03</v>
      </c>
      <c r="Q42" s="19" t="str">
        <f>'[1]1º TRIMESTRE'!Q42</f>
        <v>3.3.90.39</v>
      </c>
      <c r="R42" s="21">
        <f>'[1]1º TRIMESTRE'!R42+149581.99</f>
        <v>5291657.26</v>
      </c>
      <c r="S42" s="21">
        <v>149581.99</v>
      </c>
      <c r="T42" s="21">
        <f>'[1]1º TRIMESTRE'!T42+S42</f>
        <v>701510.45</v>
      </c>
      <c r="U42" s="21">
        <f>'[1]1º TRIMESTRE'!U42+S42</f>
        <v>5206655.17</v>
      </c>
      <c r="V42" s="23" t="str">
        <f>'[1]1º TRIMESTRE'!V42</f>
        <v>andamento</v>
      </c>
      <c r="W42" s="24">
        <f t="shared" si="1"/>
        <v>-85002.089999999851</v>
      </c>
      <c r="X42" s="24"/>
      <c r="Y42" s="24">
        <f t="shared" si="2"/>
        <v>-85002.089999999851</v>
      </c>
      <c r="Z42" s="25" t="str">
        <f t="shared" si="3"/>
        <v>and</v>
      </c>
    </row>
    <row r="43" spans="1:27" ht="22.5">
      <c r="A43" s="18" t="str">
        <f>'[1]1º TRIMESTRE'!A43</f>
        <v>CONCORRÊNCIA Licitação: 002/2020</v>
      </c>
      <c r="B43" s="18" t="str">
        <f>'[1]1º TRIMESTRE'!B43</f>
        <v>CONTRATAÇÃO DOS SERVIÇOS DE MANUTENÇÃO CORRETIVA DO SISTEMA VIÁRIO DO RECIFE RPA 02 E 03</v>
      </c>
      <c r="C43" s="19">
        <f>'[1]1º TRIMESTRE'!C43</f>
        <v>0</v>
      </c>
      <c r="D43" s="20">
        <f>'[1]1º TRIMESTRE'!D43</f>
        <v>0</v>
      </c>
      <c r="E43" s="21">
        <f>'[1]1º TRIMESTRE'!E43</f>
        <v>0</v>
      </c>
      <c r="F43" s="21">
        <f>'[1]1º TRIMESTRE'!F43</f>
        <v>0</v>
      </c>
      <c r="G43" s="18" t="str">
        <f>'[1]1º TRIMESTRE'!G43</f>
        <v>00.999.591/0001-52</v>
      </c>
      <c r="H43" s="18" t="str">
        <f>'[1]1º TRIMESTRE'!H43</f>
        <v xml:space="preserve">AGC CONSTRUTORA E EMPREENDIMENTOS LTDA                      </v>
      </c>
      <c r="I43" s="19" t="str">
        <f>'[1]1º TRIMESTRE'!I43</f>
        <v>6-030/20</v>
      </c>
      <c r="J43" s="22">
        <f>'[1]1º TRIMESTRE'!J43</f>
        <v>44130</v>
      </c>
      <c r="K43" s="19">
        <f>'[1]1º TRIMESTRE'!K43</f>
        <v>760</v>
      </c>
      <c r="L43" s="21">
        <f>'[1]1º TRIMESTRE'!L43</f>
        <v>9905518.1799999997</v>
      </c>
      <c r="M43" s="22">
        <f t="shared" si="0"/>
        <v>45011</v>
      </c>
      <c r="N43" s="19">
        <f>'[1]1º TRIMESTRE'!N43</f>
        <v>121</v>
      </c>
      <c r="O43" s="21">
        <f>'[1]1º TRIMESTRE'!O43</f>
        <v>288906.17</v>
      </c>
      <c r="P43" s="21">
        <f>'[1]1º TRIMESTRE'!P43</f>
        <v>4339397.41</v>
      </c>
      <c r="Q43" s="19" t="str">
        <f>'[1]1º TRIMESTRE'!Q43</f>
        <v>3.3.90.39</v>
      </c>
      <c r="R43" s="21">
        <f>'[1]1º TRIMESTRE'!R43</f>
        <v>9807579.25</v>
      </c>
      <c r="S43" s="21"/>
      <c r="T43" s="21">
        <f>'[1]1º TRIMESTRE'!T43+S43</f>
        <v>787666.71</v>
      </c>
      <c r="U43" s="21">
        <f>'[1]1º TRIMESTRE'!U43+S43</f>
        <v>9807579.25</v>
      </c>
      <c r="V43" s="23" t="str">
        <f>'[1]1º TRIMESTRE'!V43</f>
        <v>encerrado</v>
      </c>
      <c r="W43" s="24">
        <f t="shared" si="1"/>
        <v>0</v>
      </c>
      <c r="X43" s="24"/>
      <c r="Y43" s="24">
        <f t="shared" si="2"/>
        <v>0</v>
      </c>
      <c r="Z43" s="25" t="str">
        <f t="shared" si="3"/>
        <v>enc</v>
      </c>
    </row>
    <row r="44" spans="1:27" ht="22.5">
      <c r="A44" s="18" t="str">
        <f>'[1]1º TRIMESTRE'!A44</f>
        <v>CONCORRÊNCIA Licitação: 002/2020</v>
      </c>
      <c r="B44" s="18" t="str">
        <f>'[1]1º TRIMESTRE'!B44</f>
        <v>CONTRATAÇÃO DOS SERVIÇOS DE MANUTENÇÃO CORRETIVA DO SISTEMA VIÁRIO DO RECIFE RPA 06</v>
      </c>
      <c r="C44" s="19">
        <f>'[1]1º TRIMESTRE'!C44</f>
        <v>0</v>
      </c>
      <c r="D44" s="20">
        <f>'[1]1º TRIMESTRE'!D44</f>
        <v>0</v>
      </c>
      <c r="E44" s="21">
        <f>'[1]1º TRIMESTRE'!E44</f>
        <v>0</v>
      </c>
      <c r="F44" s="21">
        <f>'[1]1º TRIMESTRE'!F44</f>
        <v>0</v>
      </c>
      <c r="G44" s="18" t="str">
        <f>'[1]1º TRIMESTRE'!G44</f>
        <v>40.882.060/0001-08</v>
      </c>
      <c r="H44" s="18" t="str">
        <f>'[1]1º TRIMESTRE'!H44</f>
        <v>LIDERMAC CONSTRUCOES E EQUIPAMENTOS LTDA</v>
      </c>
      <c r="I44" s="19" t="str">
        <f>'[1]1º TRIMESTRE'!I44</f>
        <v>6-032/20</v>
      </c>
      <c r="J44" s="22">
        <f>'[1]1º TRIMESTRE'!J44</f>
        <v>44130</v>
      </c>
      <c r="K44" s="19">
        <f>'[1]1º TRIMESTRE'!K44</f>
        <v>760</v>
      </c>
      <c r="L44" s="21">
        <f>'[1]1º TRIMESTRE'!L44</f>
        <v>10773413.109999999</v>
      </c>
      <c r="M44" s="22">
        <f t="shared" si="0"/>
        <v>44952</v>
      </c>
      <c r="N44" s="19">
        <f>'[1]1º TRIMESTRE'!N44</f>
        <v>62</v>
      </c>
      <c r="O44" s="21">
        <f>'[1]1º TRIMESTRE'!O44</f>
        <v>0</v>
      </c>
      <c r="P44" s="21">
        <f>'[1]1º TRIMESTRE'!P44</f>
        <v>1474460.52</v>
      </c>
      <c r="Q44" s="19" t="str">
        <f>'[1]1º TRIMESTRE'!Q44</f>
        <v>3.3.90.39</v>
      </c>
      <c r="R44" s="21">
        <f>'[1]1º TRIMESTRE'!R44</f>
        <v>8125546.7999999989</v>
      </c>
      <c r="S44" s="21"/>
      <c r="T44" s="21">
        <f>'[1]1º TRIMESTRE'!T44+S44</f>
        <v>406203.14</v>
      </c>
      <c r="U44" s="21">
        <f>'[1]1º TRIMESTRE'!U44+S44</f>
        <v>8125546.7999999998</v>
      </c>
      <c r="V44" s="23" t="str">
        <f>'[1]1º TRIMESTRE'!V44</f>
        <v>encerrado</v>
      </c>
      <c r="W44" s="24">
        <f t="shared" si="1"/>
        <v>0</v>
      </c>
      <c r="X44" s="24"/>
      <c r="Y44" s="24">
        <f t="shared" si="2"/>
        <v>0</v>
      </c>
      <c r="Z44" s="25" t="str">
        <f t="shared" si="3"/>
        <v>enc</v>
      </c>
    </row>
    <row r="45" spans="1:27" ht="22.5">
      <c r="A45" s="18" t="str">
        <f>'[1]1º TRIMESTRE'!A45</f>
        <v>PREGÃO ELETRÔNICO Licitação: 017/2022</v>
      </c>
      <c r="B45" s="18" t="str">
        <f>'[1]1º TRIMESTRE'!B45</f>
        <v>MANUTENÇÃO E /OU INSTALAÇÃO DE EQUIPAMENTOS E BRINQUEDOS EM MADEIRA, INSTALADOS EM PARQUES E PRAÇAS DA CIDADE DO RECIFE</v>
      </c>
      <c r="C45" s="19">
        <f>'[1]1º TRIMESTRE'!C45</f>
        <v>0</v>
      </c>
      <c r="D45" s="20">
        <f>'[1]1º TRIMESTRE'!D45</f>
        <v>0</v>
      </c>
      <c r="E45" s="21">
        <f>'[1]1º TRIMESTRE'!E45</f>
        <v>0</v>
      </c>
      <c r="F45" s="21">
        <f>'[1]1º TRIMESTRE'!F45</f>
        <v>0</v>
      </c>
      <c r="G45" s="18" t="str">
        <f>'[1]1º TRIMESTRE'!G45</f>
        <v>06.157.352/0001-31</v>
      </c>
      <c r="H45" s="18" t="str">
        <f>'[1]1º TRIMESTRE'!H45</f>
        <v>ROBERTO &amp; JAIR COMÉRCIO E SERVIÇOS LTDA-ME</v>
      </c>
      <c r="I45" s="19" t="str">
        <f>'[1]1º TRIMESTRE'!I45</f>
        <v>6-032/22</v>
      </c>
      <c r="J45" s="22">
        <f>'[1]1º TRIMESTRE'!J45</f>
        <v>44718</v>
      </c>
      <c r="K45" s="19">
        <f>'[1]1º TRIMESTRE'!K45</f>
        <v>790</v>
      </c>
      <c r="L45" s="21">
        <f>'[1]1º TRIMESTRE'!L45</f>
        <v>1278000</v>
      </c>
      <c r="M45" s="22">
        <f t="shared" si="0"/>
        <v>45508</v>
      </c>
      <c r="N45" s="19">
        <f>'[1]1º TRIMESTRE'!N45</f>
        <v>0</v>
      </c>
      <c r="O45" s="21">
        <v>281802.27</v>
      </c>
      <c r="P45" s="21">
        <f>'[1]1º TRIMESTRE'!P45</f>
        <v>0</v>
      </c>
      <c r="Q45" s="19" t="str">
        <f>'[1]1º TRIMESTRE'!Q45</f>
        <v>3.3.90.39</v>
      </c>
      <c r="R45" s="21">
        <f>'[1]1º TRIMESTRE'!R45+194816.81</f>
        <v>816184.98</v>
      </c>
      <c r="S45" s="21">
        <v>194816.81</v>
      </c>
      <c r="T45" s="21">
        <f>'[1]1º TRIMESTRE'!T45+S45</f>
        <v>316231.63</v>
      </c>
      <c r="U45" s="21">
        <f>'[1]1º TRIMESTRE'!U45+S45</f>
        <v>816184.98</v>
      </c>
      <c r="V45" s="23" t="str">
        <f>'[1]1º TRIMESTRE'!V45</f>
        <v>andamento</v>
      </c>
      <c r="W45" s="24">
        <f t="shared" si="1"/>
        <v>0</v>
      </c>
      <c r="X45" s="24"/>
      <c r="Y45" s="24">
        <f t="shared" si="2"/>
        <v>0</v>
      </c>
      <c r="Z45" s="25" t="str">
        <f t="shared" si="3"/>
        <v>and</v>
      </c>
    </row>
    <row r="46" spans="1:27" ht="56.25">
      <c r="A46" s="18" t="str">
        <f>'[1]1º TRIMESTRE'!A46</f>
        <v>CONCORRÊNCIA Licitação: 007/2021</v>
      </c>
      <c r="B46" s="18" t="str">
        <f>'[1]1º TRIMESTRE'!B46</f>
        <v>CONTRATAÇÃO DE EMPESA ESPECIALIZADA DE ENGENHARIA PARA ELABORAÇÃO E READEQUAÇÃO DE PROJETOS EXECUTIVOS DE INFRAESTRUTURA URBANA, CONTEMPLANDO AS DISCIPLINAS DE GEOMETRIA, PAVIMENTAÇÃO, TERRAPLENAGEM, DRENAGEM, URBANISMO E SEUS ORÇAMENTOS DE CUSTOS PARA VIAS URBANAS DA CIDADE DO RECIFE</v>
      </c>
      <c r="C46" s="19" t="str">
        <f>'[1]1º TRIMESTRE'!C46</f>
        <v>40.00017-6</v>
      </c>
      <c r="D46" s="20" t="str">
        <f>'[1]1º TRIMESTRE'!D46</f>
        <v>BANCO DO BRASIL</v>
      </c>
      <c r="E46" s="21">
        <f>'[1]1º TRIMESTRE'!E46</f>
        <v>0</v>
      </c>
      <c r="F46" s="21">
        <f>'[1]1º TRIMESTRE'!F46</f>
        <v>0</v>
      </c>
      <c r="G46" s="18" t="str">
        <f>'[1]1º TRIMESTRE'!G46</f>
        <v>70.073.275/0001-30</v>
      </c>
      <c r="H46" s="18" t="str">
        <f>'[1]1º TRIMESTRE'!H46</f>
        <v>GEOSISTEMAS ENGENHARIA E PLANEJAMENTO LTDA</v>
      </c>
      <c r="I46" s="19" t="str">
        <f>'[1]1º TRIMESTRE'!I46</f>
        <v>6-033/22</v>
      </c>
      <c r="J46" s="22">
        <f>'[1]1º TRIMESTRE'!J46</f>
        <v>44732</v>
      </c>
      <c r="K46" s="19">
        <f>'[1]1º TRIMESTRE'!K46</f>
        <v>360</v>
      </c>
      <c r="L46" s="21">
        <f>'[1]1º TRIMESTRE'!L46</f>
        <v>1507466.22</v>
      </c>
      <c r="M46" s="22">
        <f t="shared" si="0"/>
        <v>45182</v>
      </c>
      <c r="N46" s="19">
        <f>'[1]1º TRIMESTRE'!N46+90</f>
        <v>90</v>
      </c>
      <c r="O46" s="21">
        <f>'[1]1º TRIMESTRE'!O46</f>
        <v>0</v>
      </c>
      <c r="P46" s="21">
        <f>'[1]1º TRIMESTRE'!P46</f>
        <v>0</v>
      </c>
      <c r="Q46" s="19" t="str">
        <f>'[1]1º TRIMESTRE'!Q46</f>
        <v>4.4.90.39</v>
      </c>
      <c r="R46" s="21">
        <f>'[1]1º TRIMESTRE'!R46+118591.88</f>
        <v>373053.63</v>
      </c>
      <c r="S46" s="21">
        <v>118591.88</v>
      </c>
      <c r="T46" s="21">
        <f>'[1]1º TRIMESTRE'!T46+S46</f>
        <v>263936.45999999996</v>
      </c>
      <c r="U46" s="21">
        <f>'[1]1º TRIMESTRE'!U46+S46</f>
        <v>373053.63</v>
      </c>
      <c r="V46" s="23" t="str">
        <f>'[1]1º TRIMESTRE'!V46</f>
        <v>andamento</v>
      </c>
      <c r="W46" s="24">
        <f t="shared" si="1"/>
        <v>0</v>
      </c>
      <c r="X46" s="24"/>
      <c r="Y46" s="24">
        <f t="shared" si="2"/>
        <v>0</v>
      </c>
      <c r="Z46" s="25" t="str">
        <f t="shared" si="3"/>
        <v>and</v>
      </c>
    </row>
    <row r="47" spans="1:27" ht="56.25">
      <c r="A47" s="18" t="str">
        <f>'[1]1º TRIMESTRE'!A47</f>
        <v>CONCORRÊNCIA Licitação: 007/2021</v>
      </c>
      <c r="B47" s="18" t="str">
        <f>'[1]1º TRIMESTRE'!B47</f>
        <v>CONTRATAÇÃO DE EMPESA ESPECIALIZADA DE ENGENHARIA PARA ELABORAÇÃO E READEQUAÇÃO DE PROJETOS EXECUTIVOS DE INFRAESTRUTURA URBANA, CONTEMPLANDO AS DISCIPLINAS DE GEOMETRIA, PAVIMENTAÇÃO, TERRAPLENAGEM, DRENAGEM, URBANISMO E SEUS ORÇAMENTOS DE CUSTOS PARA VIAS URBANAS DA CIDADE DO RECIFE</v>
      </c>
      <c r="C47" s="19" t="str">
        <f>'[1]1º TRIMESTRE'!C47</f>
        <v>40.00017-6</v>
      </c>
      <c r="D47" s="20" t="str">
        <f>'[1]1º TRIMESTRE'!D47</f>
        <v>BANCO DO BRASIL</v>
      </c>
      <c r="E47" s="21">
        <f>'[1]1º TRIMESTRE'!E47</f>
        <v>0</v>
      </c>
      <c r="F47" s="21">
        <f>'[1]1º TRIMESTRE'!F47</f>
        <v>0</v>
      </c>
      <c r="G47" s="18" t="str">
        <f>'[1]1º TRIMESTRE'!G47</f>
        <v>70.073.275/0001-30</v>
      </c>
      <c r="H47" s="18" t="str">
        <f>'[1]1º TRIMESTRE'!H47</f>
        <v>GEOSISTEMAS ENGENHARIA E PLANEJAMENTO LTDA</v>
      </c>
      <c r="I47" s="19" t="str">
        <f>'[1]1º TRIMESTRE'!I47</f>
        <v>6-034/22</v>
      </c>
      <c r="J47" s="22">
        <f>'[1]1º TRIMESTRE'!J47</f>
        <v>44732</v>
      </c>
      <c r="K47" s="19">
        <f>'[1]1º TRIMESTRE'!K47</f>
        <v>425</v>
      </c>
      <c r="L47" s="21">
        <f>'[1]1º TRIMESTRE'!L47</f>
        <v>2244006.2200000002</v>
      </c>
      <c r="M47" s="22">
        <f t="shared" si="0"/>
        <v>45157</v>
      </c>
      <c r="N47" s="19">
        <f>'[1]1º TRIMESTRE'!N47</f>
        <v>0</v>
      </c>
      <c r="O47" s="21">
        <f>'[1]1º TRIMESTRE'!O47</f>
        <v>0</v>
      </c>
      <c r="P47" s="21">
        <f>'[1]1º TRIMESTRE'!P47</f>
        <v>0</v>
      </c>
      <c r="Q47" s="19" t="str">
        <f>'[1]1º TRIMESTRE'!Q47</f>
        <v>4.4.90.39</v>
      </c>
      <c r="R47" s="21">
        <f>'[1]1º TRIMESTRE'!R47+136570.22</f>
        <v>452653.33999999997</v>
      </c>
      <c r="S47" s="21">
        <v>136570.22</v>
      </c>
      <c r="T47" s="21">
        <f>'[1]1º TRIMESTRE'!T47+S47</f>
        <v>354338.4</v>
      </c>
      <c r="U47" s="21">
        <f>'[1]1º TRIMESTRE'!U47+S47</f>
        <v>452653.33999999997</v>
      </c>
      <c r="V47" s="23" t="str">
        <f>'[1]1º TRIMESTRE'!V47</f>
        <v>andamento</v>
      </c>
      <c r="W47" s="24">
        <f t="shared" si="1"/>
        <v>0</v>
      </c>
      <c r="X47" s="24"/>
      <c r="Y47" s="24">
        <f t="shared" si="2"/>
        <v>0</v>
      </c>
      <c r="Z47" s="25" t="str">
        <f t="shared" si="3"/>
        <v>and</v>
      </c>
    </row>
    <row r="48" spans="1:27" ht="45">
      <c r="A48" s="18" t="str">
        <f>'[1]1º TRIMESTRE'!A48</f>
        <v>CONCORRÊNCIA Licitação: 006/2021</v>
      </c>
      <c r="B48" s="18" t="str">
        <f>'[1]1º TRIMESTRE'!B48</f>
        <v>CONTRATAÇÃO DE EMPRESA DE ENGENHARIA, PARA EXECUÇÃO DOS SERVIÇOS DE IMPLANTAÇÃO DA REDE DE DRENAGEM, PAVIMENTAÇÃO, ACESSIBILIDADE E SINALIZAÇÃO DAS RUAS DESEMBARGADOR VIRGÍLIO DE SA PEREIRA E MATHUZALEM WANDERLEY, LOCALIZADAS NO BAIRRO DO CORDEIRO. LOTE 01</v>
      </c>
      <c r="C48" s="19" t="str">
        <f>'[1]1º TRIMESTRE'!C48</f>
        <v xml:space="preserve"> 892570/2019</v>
      </c>
      <c r="D48" s="20" t="str">
        <f>'[1]1º TRIMESTRE'!D48</f>
        <v>Emenda Parlamentar Federal</v>
      </c>
      <c r="E48" s="21">
        <f>'[1]1º TRIMESTRE'!E48</f>
        <v>3820000</v>
      </c>
      <c r="F48" s="21">
        <f>'[1]1º TRIMESTRE'!F48</f>
        <v>8000</v>
      </c>
      <c r="G48" s="18" t="str">
        <f>'[1]1º TRIMESTRE'!G48</f>
        <v>02.724.778/0001-79</v>
      </c>
      <c r="H48" s="18" t="str">
        <f>'[1]1º TRIMESTRE'!H48</f>
        <v>UNITERRA - UNIAO TERRAPLENAGEM E CONSTRUCOES LTDA</v>
      </c>
      <c r="I48" s="19" t="str">
        <f>'[1]1º TRIMESTRE'!I48</f>
        <v>6-035/21</v>
      </c>
      <c r="J48" s="22">
        <f>'[1]1º TRIMESTRE'!J48</f>
        <v>44456</v>
      </c>
      <c r="K48" s="19">
        <f>'[1]1º TRIMESTRE'!K48</f>
        <v>210</v>
      </c>
      <c r="L48" s="21">
        <f>'[1]1º TRIMESTRE'!L48</f>
        <v>2111167.85</v>
      </c>
      <c r="M48" s="22">
        <f t="shared" si="0"/>
        <v>45152</v>
      </c>
      <c r="N48" s="19">
        <f>'[1]1º TRIMESTRE'!N48+270</f>
        <v>486</v>
      </c>
      <c r="O48" s="21">
        <f>'[1]1º TRIMESTRE'!O48</f>
        <v>0</v>
      </c>
      <c r="P48" s="21">
        <f>'[1]1º TRIMESTRE'!P48</f>
        <v>-902.12</v>
      </c>
      <c r="Q48" s="19" t="str">
        <f>'[1]1º TRIMESTRE'!Q48</f>
        <v>4.4.90.39</v>
      </c>
      <c r="R48" s="21">
        <f>'[1]1º TRIMESTRE'!R48+415154.04</f>
        <v>1615174.59</v>
      </c>
      <c r="S48" s="21">
        <v>0</v>
      </c>
      <c r="T48" s="21">
        <f>'[1]1º TRIMESTRE'!T48+S48</f>
        <v>0</v>
      </c>
      <c r="U48" s="21">
        <f>'[1]1º TRIMESTRE'!U48+S48</f>
        <v>1199276.75</v>
      </c>
      <c r="V48" s="23" t="str">
        <f>'[1]1º TRIMESTRE'!V48</f>
        <v>andamento</v>
      </c>
      <c r="W48" s="24">
        <f t="shared" si="1"/>
        <v>-415897.84000000008</v>
      </c>
      <c r="X48" s="24"/>
      <c r="Y48" s="24">
        <f t="shared" si="2"/>
        <v>-415897.84000000008</v>
      </c>
      <c r="Z48" s="25" t="str">
        <f t="shared" si="3"/>
        <v>and</v>
      </c>
      <c r="AA48" s="27"/>
    </row>
    <row r="49" spans="1:26" ht="22.5">
      <c r="A49" s="18" t="str">
        <f>'[1]1º TRIMESTRE'!A49</f>
        <v>CONCORRÊNCIA Licitação: 001/2022</v>
      </c>
      <c r="B49" s="18" t="str">
        <f>'[1]1º TRIMESTRE'!B49</f>
        <v>SERVIÇO DE MANUTENÇÃO PREVENTIVA DO SISTEMA MACRODRENAGEM EM TODAS AS RPAS DA CIDADE DO RECIFE, LOTE I - RPA 01 E RPA 06</v>
      </c>
      <c r="C49" s="19">
        <f>'[1]1º TRIMESTRE'!C49</f>
        <v>0</v>
      </c>
      <c r="D49" s="20">
        <f>'[1]1º TRIMESTRE'!D49</f>
        <v>0</v>
      </c>
      <c r="E49" s="21">
        <f>'[1]1º TRIMESTRE'!E49</f>
        <v>0</v>
      </c>
      <c r="F49" s="21">
        <f>'[1]1º TRIMESTRE'!F49</f>
        <v>0</v>
      </c>
      <c r="G49" s="18" t="str">
        <f>'[1]1º TRIMESTRE'!G49</f>
        <v>01.514.128/0001-36</v>
      </c>
      <c r="H49" s="18" t="str">
        <f>'[1]1º TRIMESTRE'!H49</f>
        <v>SCAVE SERVICOS DE ENGENHARIA E LOCACAO LTDA</v>
      </c>
      <c r="I49" s="19" t="str">
        <f>'[1]1º TRIMESTRE'!I49</f>
        <v>6-036/22</v>
      </c>
      <c r="J49" s="22">
        <f>'[1]1º TRIMESTRE'!J49</f>
        <v>44719</v>
      </c>
      <c r="K49" s="19">
        <f>'[1]1º TRIMESTRE'!K49</f>
        <v>1155</v>
      </c>
      <c r="L49" s="21">
        <f>'[1]1º TRIMESTRE'!L49</f>
        <v>7836613.5899999999</v>
      </c>
      <c r="M49" s="22">
        <f t="shared" si="0"/>
        <v>45874</v>
      </c>
      <c r="N49" s="19">
        <f>'[1]1º TRIMESTRE'!N49</f>
        <v>0</v>
      </c>
      <c r="O49" s="21">
        <f>'[1]1º TRIMESTRE'!O49+1826425.61</f>
        <v>1826425.61</v>
      </c>
      <c r="P49" s="21">
        <f>'[1]1º TRIMESTRE'!P49+618502.46</f>
        <v>618502.46</v>
      </c>
      <c r="Q49" s="19" t="str">
        <f>'[1]1º TRIMESTRE'!Q49</f>
        <v>3.3.90.39</v>
      </c>
      <c r="R49" s="21">
        <f>'[1]1º TRIMESTRE'!R49+765822.99</f>
        <v>5003969.6700000009</v>
      </c>
      <c r="S49" s="21">
        <v>422916.34</v>
      </c>
      <c r="T49" s="21">
        <f>'[1]1º TRIMESTRE'!T49+S49</f>
        <v>780910.85000000009</v>
      </c>
      <c r="U49" s="21">
        <f>'[1]1º TRIMESTRE'!U49+S49</f>
        <v>4661063.0199999996</v>
      </c>
      <c r="V49" s="23" t="str">
        <f>'[1]1º TRIMESTRE'!V49</f>
        <v>andamento</v>
      </c>
      <c r="W49" s="24">
        <f t="shared" si="1"/>
        <v>-342906.6500000013</v>
      </c>
      <c r="X49" s="24">
        <v>342906.65</v>
      </c>
      <c r="Y49" s="24">
        <f t="shared" si="2"/>
        <v>-1.280568540096283E-9</v>
      </c>
      <c r="Z49" s="25" t="str">
        <f t="shared" si="3"/>
        <v>and</v>
      </c>
    </row>
    <row r="50" spans="1:26" ht="22.5">
      <c r="A50" s="18" t="str">
        <f>'[1]1º TRIMESTRE'!A50</f>
        <v>CONCORRÊNCIA Licitação: 001/2022</v>
      </c>
      <c r="B50" s="18" t="str">
        <f>'[1]1º TRIMESTRE'!B50</f>
        <v>SERVIÇO DE MANUTENÇÃO PREVENTIVA DO SISTEMA MACRODRENAGEM EM TODAS AS RPAS DA CIDADE DO RECIFE, LOTE II - RPA 02 E RPA 03</v>
      </c>
      <c r="C50" s="19">
        <f>'[1]1º TRIMESTRE'!C50</f>
        <v>0</v>
      </c>
      <c r="D50" s="20">
        <f>'[1]1º TRIMESTRE'!D50</f>
        <v>0</v>
      </c>
      <c r="E50" s="21">
        <f>'[1]1º TRIMESTRE'!E50</f>
        <v>0</v>
      </c>
      <c r="F50" s="21">
        <f>'[1]1º TRIMESTRE'!F50</f>
        <v>0</v>
      </c>
      <c r="G50" s="18" t="str">
        <f>'[1]1º TRIMESTRE'!G50</f>
        <v>01.514.128/0001-36</v>
      </c>
      <c r="H50" s="18" t="str">
        <f>'[1]1º TRIMESTRE'!H50</f>
        <v>SCAVE SERVICOS DE ENGENHARIA E LOCACAO LTDA</v>
      </c>
      <c r="I50" s="19" t="str">
        <f>'[1]1º TRIMESTRE'!I50</f>
        <v>6-037/22</v>
      </c>
      <c r="J50" s="22">
        <f>'[1]1º TRIMESTRE'!J50</f>
        <v>44719</v>
      </c>
      <c r="K50" s="19">
        <f>'[1]1º TRIMESTRE'!K50</f>
        <v>1155</v>
      </c>
      <c r="L50" s="21">
        <f>'[1]1º TRIMESTRE'!L50</f>
        <v>8921904</v>
      </c>
      <c r="M50" s="22">
        <f t="shared" si="0"/>
        <v>45874</v>
      </c>
      <c r="N50" s="19">
        <f>'[1]1º TRIMESTRE'!N50</f>
        <v>0</v>
      </c>
      <c r="O50" s="21">
        <f>'[1]1º TRIMESTRE'!O50</f>
        <v>0</v>
      </c>
      <c r="P50" s="21">
        <f>'[1]1º TRIMESTRE'!P50+696482.5</f>
        <v>696482.5</v>
      </c>
      <c r="Q50" s="19" t="str">
        <f>'[1]1º TRIMESTRE'!Q50</f>
        <v>3.3.90.39</v>
      </c>
      <c r="R50" s="21">
        <f>'[1]1º TRIMESTRE'!R50+1216882.75</f>
        <v>5202656.41</v>
      </c>
      <c r="S50" s="21">
        <v>621760.21</v>
      </c>
      <c r="T50" s="21">
        <f>'[1]1º TRIMESTRE'!T50+S50</f>
        <v>993275.80999999994</v>
      </c>
      <c r="U50" s="21">
        <f>'[1]1º TRIMESTRE'!U50+S50</f>
        <v>4607533.87</v>
      </c>
      <c r="V50" s="23" t="str">
        <f>'[1]1º TRIMESTRE'!V50</f>
        <v>andamento</v>
      </c>
      <c r="W50" s="24">
        <f t="shared" si="1"/>
        <v>-595122.54</v>
      </c>
      <c r="X50" s="24">
        <v>595122.54</v>
      </c>
      <c r="Y50" s="24">
        <f t="shared" si="2"/>
        <v>0</v>
      </c>
      <c r="Z50" s="25" t="str">
        <f t="shared" si="3"/>
        <v>and</v>
      </c>
    </row>
    <row r="51" spans="1:26" ht="22.5">
      <c r="A51" s="18" t="str">
        <f>'[1]1º TRIMESTRE'!A51</f>
        <v>CONCORRÊNCIA Licitação: 001/2022</v>
      </c>
      <c r="B51" s="18" t="str">
        <f>'[1]1º TRIMESTRE'!B51</f>
        <v>SERVIÇO DE MANUTENÇÃO PREVENTIVA DO SISTEMA MACRODRENAGEM EM TODAS AS RPAS DA CIDADE DO RECIFE. LOTE III - RPA 04 E RPA 05</v>
      </c>
      <c r="C51" s="19">
        <f>'[1]1º TRIMESTRE'!C51</f>
        <v>0</v>
      </c>
      <c r="D51" s="20">
        <f>'[1]1º TRIMESTRE'!D51</f>
        <v>0</v>
      </c>
      <c r="E51" s="21">
        <f>'[1]1º TRIMESTRE'!E51</f>
        <v>0</v>
      </c>
      <c r="F51" s="21">
        <f>'[1]1º TRIMESTRE'!F51</f>
        <v>0</v>
      </c>
      <c r="G51" s="18" t="str">
        <f>'[1]1º TRIMESTRE'!G51</f>
        <v>03.951.168/0001-70</v>
      </c>
      <c r="H51" s="18" t="str">
        <f>'[1]1º TRIMESTRE'!H51</f>
        <v>CONSTRUTORA NOVO MUNDO EIRELI</v>
      </c>
      <c r="I51" s="19" t="str">
        <f>'[1]1º TRIMESTRE'!I51</f>
        <v>6-038/22</v>
      </c>
      <c r="J51" s="22">
        <f>'[1]1º TRIMESTRE'!J51</f>
        <v>44719</v>
      </c>
      <c r="K51" s="19">
        <f>'[1]1º TRIMESTRE'!K51</f>
        <v>1155</v>
      </c>
      <c r="L51" s="21">
        <f>'[1]1º TRIMESTRE'!L51</f>
        <v>11636266.130000001</v>
      </c>
      <c r="M51" s="22">
        <f t="shared" si="0"/>
        <v>45874</v>
      </c>
      <c r="N51" s="19">
        <f>'[1]1º TRIMESTRE'!N51</f>
        <v>0</v>
      </c>
      <c r="O51" s="21">
        <f>'[1]1º TRIMESTRE'!O51</f>
        <v>0</v>
      </c>
      <c r="P51" s="21">
        <f>'[1]1º TRIMESTRE'!P51</f>
        <v>0</v>
      </c>
      <c r="Q51" s="19" t="str">
        <f>'[1]1º TRIMESTRE'!Q51</f>
        <v>3.3.90.39</v>
      </c>
      <c r="R51" s="21">
        <f>'[1]1º TRIMESTRE'!R51</f>
        <v>3533030.92</v>
      </c>
      <c r="S51" s="21">
        <v>0</v>
      </c>
      <c r="T51" s="21">
        <f>'[1]1º TRIMESTRE'!T51+S51</f>
        <v>0</v>
      </c>
      <c r="U51" s="21">
        <f>'[1]1º TRIMESTRE'!U51+S51</f>
        <v>3533030.92</v>
      </c>
      <c r="V51" s="23" t="str">
        <f>'[1]1º TRIMESTRE'!V51</f>
        <v>andamento</v>
      </c>
      <c r="W51" s="24">
        <f t="shared" si="1"/>
        <v>0</v>
      </c>
      <c r="X51" s="24"/>
      <c r="Y51" s="24">
        <f t="shared" si="2"/>
        <v>0</v>
      </c>
      <c r="Z51" s="25" t="str">
        <f t="shared" si="3"/>
        <v>and</v>
      </c>
    </row>
    <row r="52" spans="1:26" ht="33.75">
      <c r="A52" s="18" t="str">
        <f>'[1]1º TRIMESTRE'!A52</f>
        <v xml:space="preserve">  CONCORRÊNCIA Licitação: 004/2022</v>
      </c>
      <c r="B52" s="18" t="str">
        <f>'[1]1º TRIMESTRE'!B52</f>
        <v>IMPLANTAÇÃO DE CICLOVIA NA AV. AGAMENON MAGALHÃES NO TRECHO COMPREENDIDO ENTRE A RUA DR. LEOPOLDO LINS, NO BAIRRO DA BOA VISTA ATÉ A AVENIDA SATURTINO DE BRITO, NO BAIRRO DO CABANGA, RECIFE PE</v>
      </c>
      <c r="C52" s="19" t="s">
        <v>35</v>
      </c>
      <c r="D52" s="20" t="s">
        <v>36</v>
      </c>
      <c r="E52" s="21">
        <f>'[1]1º TRIMESTRE'!E52</f>
        <v>0</v>
      </c>
      <c r="F52" s="21">
        <f>'[1]1º TRIMESTRE'!F52</f>
        <v>0</v>
      </c>
      <c r="G52" s="18" t="str">
        <f>'[1]1º TRIMESTRE'!G52</f>
        <v>11.864.311/0001-15</v>
      </c>
      <c r="H52" s="18" t="str">
        <f>'[1]1º TRIMESTRE'!H52</f>
        <v>SBC SOCIEDADE BRASILEIRA DE CONSTRUCOES LTDA</v>
      </c>
      <c r="I52" s="19" t="str">
        <f>'[1]1º TRIMESTRE'!I52</f>
        <v>6-039/22</v>
      </c>
      <c r="J52" s="22">
        <f>'[1]1º TRIMESTRE'!J52</f>
        <v>44726</v>
      </c>
      <c r="K52" s="19">
        <f>'[1]1º TRIMESTRE'!K52</f>
        <v>337</v>
      </c>
      <c r="L52" s="21">
        <f>'[1]1º TRIMESTRE'!L52</f>
        <v>5966954.5499999998</v>
      </c>
      <c r="M52" s="22">
        <f t="shared" si="0"/>
        <v>45243</v>
      </c>
      <c r="N52" s="19">
        <f>'[1]1º TRIMESTRE'!N52+90</f>
        <v>180</v>
      </c>
      <c r="O52" s="21">
        <f>'[1]1º TRIMESTRE'!O52+1342499.14</f>
        <v>1342499.14</v>
      </c>
      <c r="P52" s="21">
        <f>'[1]1º TRIMESTRE'!P52</f>
        <v>0</v>
      </c>
      <c r="Q52" s="19" t="str">
        <f>'[1]1º TRIMESTRE'!Q52</f>
        <v>4.4.90.39</v>
      </c>
      <c r="R52" s="21">
        <f>'[1]1º TRIMESTRE'!R52+1325266.74</f>
        <v>2682052.67</v>
      </c>
      <c r="S52" s="21">
        <v>875009.97</v>
      </c>
      <c r="T52" s="21">
        <f>'[1]1º TRIMESTRE'!T52+S52</f>
        <v>2231795.9</v>
      </c>
      <c r="U52" s="21">
        <f>'[1]1º TRIMESTRE'!U52+S52</f>
        <v>2231795.9</v>
      </c>
      <c r="V52" s="23" t="str">
        <f>'[1]1º TRIMESTRE'!V52</f>
        <v>andamento</v>
      </c>
      <c r="W52" s="24">
        <f t="shared" si="1"/>
        <v>-450256.77</v>
      </c>
      <c r="X52" s="24"/>
      <c r="Y52" s="24">
        <f t="shared" si="2"/>
        <v>-450256.77</v>
      </c>
      <c r="Z52" s="25" t="str">
        <f t="shared" si="3"/>
        <v>and</v>
      </c>
    </row>
    <row r="53" spans="1:26" ht="33.75">
      <c r="A53" s="18" t="str">
        <f>'[1]1º TRIMESTRE'!A53</f>
        <v>CONCORRÊNCIA / Nº 005/2021</v>
      </c>
      <c r="B53" s="18" t="str">
        <f>'[1]1º TRIMESTRE'!B53</f>
        <v>CONTRATAÇÃO DE EMPRESA DE ENGENHARIA ESPECIALIZADA EM ILUMINAÇÃO PÚBLICA PARA REALIZAÇÃO DE MANUTENÇÃO PREVENTIVA E CORRETIVA DO SISTEMA DE ILUMINAÇÃO PÚBLICA ESPECIAL DO MUNICÍPIO DO RECIFE</v>
      </c>
      <c r="C53" s="19">
        <f>'[1]1º TRIMESTRE'!C53</f>
        <v>0</v>
      </c>
      <c r="D53" s="20">
        <f>'[1]1º TRIMESTRE'!D53</f>
        <v>0</v>
      </c>
      <c r="E53" s="21">
        <f>'[1]1º TRIMESTRE'!E53</f>
        <v>0</v>
      </c>
      <c r="F53" s="21">
        <f>'[1]1º TRIMESTRE'!F53</f>
        <v>0</v>
      </c>
      <c r="G53" s="18" t="str">
        <f>'[1]1º TRIMESTRE'!G53</f>
        <v>41.116.138/0001-38</v>
      </c>
      <c r="H53" s="18" t="str">
        <f>'[1]1º TRIMESTRE'!H53</f>
        <v>REAL ENERGY LTDA</v>
      </c>
      <c r="I53" s="19" t="str">
        <f>'[1]1º TRIMESTRE'!I53</f>
        <v>6-040/21</v>
      </c>
      <c r="J53" s="22">
        <f>'[1]1º TRIMESTRE'!J53</f>
        <v>44469</v>
      </c>
      <c r="K53" s="19">
        <f>'[1]1º TRIMESTRE'!K53</f>
        <v>920</v>
      </c>
      <c r="L53" s="21">
        <f>'[1]1º TRIMESTRE'!L53</f>
        <v>1730333.68</v>
      </c>
      <c r="M53" s="22">
        <f t="shared" si="0"/>
        <v>45389</v>
      </c>
      <c r="N53" s="19">
        <f>'[1]1º TRIMESTRE'!N53</f>
        <v>0</v>
      </c>
      <c r="O53" s="21">
        <f>'[1]1º TRIMESTRE'!O53</f>
        <v>0</v>
      </c>
      <c r="P53" s="21">
        <f>'[1]1º TRIMESTRE'!P53+210037.76</f>
        <v>210037.76000000001</v>
      </c>
      <c r="Q53" s="19" t="str">
        <f>'[1]1º TRIMESTRE'!Q53</f>
        <v>3.3.90.39</v>
      </c>
      <c r="R53" s="21">
        <f>'[1]1º TRIMESTRE'!R53+216200.37</f>
        <v>1113580.1600000001</v>
      </c>
      <c r="S53" s="21">
        <v>216200.37</v>
      </c>
      <c r="T53" s="21">
        <f>'[1]1º TRIMESTRE'!T53+S53</f>
        <v>361417.35</v>
      </c>
      <c r="U53" s="21">
        <f>'[1]1º TRIMESTRE'!U53+S53</f>
        <v>1113580.1600000001</v>
      </c>
      <c r="V53" s="23" t="str">
        <f>'[1]1º TRIMESTRE'!V53</f>
        <v>andamento</v>
      </c>
      <c r="W53" s="24">
        <f t="shared" si="1"/>
        <v>0</v>
      </c>
      <c r="X53" s="24"/>
      <c r="Y53" s="24">
        <f t="shared" si="2"/>
        <v>0</v>
      </c>
      <c r="Z53" s="25" t="str">
        <f t="shared" si="3"/>
        <v>and</v>
      </c>
    </row>
    <row r="54" spans="1:26" ht="45">
      <c r="A54" s="18" t="str">
        <f>'[1]1º TRIMESTRE'!A54</f>
        <v>CONCORRÊNCIA Licitação: 006/2021</v>
      </c>
      <c r="B54" s="18" t="str">
        <f>'[1]1º TRIMESTRE'!B54</f>
        <v>CONTRATAÇÃO DE EMPRESA DE ENGENHARIA, PARA EXECUÇÃO DOS SERVIÇOS DE IMPLANTAÇÃO DA REDE DE DRENAGEM, PAVIMENTAÇÃO, ACESSIBILIDADE E SINALIZAÇÃO DAS RUAS DESEMBARGADOR VIRGÍLIO DE SA PEREIRA E MATHUZALEM WANDERLEY, LOCALIZADAS NO BAIRRO DO CORDEIRO. LOTE 02</v>
      </c>
      <c r="C54" s="19" t="str">
        <f>'[1]1º TRIMESTRE'!C54</f>
        <v xml:space="preserve"> 892570/2019</v>
      </c>
      <c r="D54" s="20" t="str">
        <f>'[1]1º TRIMESTRE'!D54</f>
        <v>Emenda Parlamentar Federal</v>
      </c>
      <c r="E54" s="21">
        <f>'[1]1º TRIMESTRE'!E54</f>
        <v>3820000</v>
      </c>
      <c r="F54" s="21">
        <f>'[1]1º TRIMESTRE'!F54</f>
        <v>8000</v>
      </c>
      <c r="G54" s="18" t="str">
        <f>'[1]1º TRIMESTRE'!G54</f>
        <v>02.724.778/0001-79</v>
      </c>
      <c r="H54" s="18" t="str">
        <f>'[1]1º TRIMESTRE'!H54</f>
        <v>UNITERRA - UNIAO TERRAPLENAGEM E CONSTRUCOES LTDA</v>
      </c>
      <c r="I54" s="19" t="str">
        <f>'[1]1º TRIMESTRE'!I54</f>
        <v>6-041/21</v>
      </c>
      <c r="J54" s="22">
        <f>'[1]1º TRIMESTRE'!J54</f>
        <v>44456</v>
      </c>
      <c r="K54" s="19">
        <f>'[1]1º TRIMESTRE'!K54</f>
        <v>180</v>
      </c>
      <c r="L54" s="21">
        <f>'[1]1º TRIMESTRE'!L54</f>
        <v>1022476.9</v>
      </c>
      <c r="M54" s="22">
        <f t="shared" si="0"/>
        <v>45086</v>
      </c>
      <c r="N54" s="19">
        <f>'[1]1º TRIMESTRE'!N54</f>
        <v>450</v>
      </c>
      <c r="O54" s="21">
        <f>'[1]1º TRIMESTRE'!O54</f>
        <v>0</v>
      </c>
      <c r="P54" s="21">
        <f>'[1]1º TRIMESTRE'!P54</f>
        <v>114236.86</v>
      </c>
      <c r="Q54" s="19" t="str">
        <f>'[1]1º TRIMESTRE'!Q54</f>
        <v>4.4.90.39</v>
      </c>
      <c r="R54" s="21">
        <f>'[1]1º TRIMESTRE'!R54</f>
        <v>383346.66000000003</v>
      </c>
      <c r="S54" s="21">
        <v>0</v>
      </c>
      <c r="T54" s="21">
        <f>'[1]1º TRIMESTRE'!T54+S54</f>
        <v>27885.22</v>
      </c>
      <c r="U54" s="21">
        <f>'[1]1º TRIMESTRE'!U54+S54</f>
        <v>267230.31</v>
      </c>
      <c r="V54" s="23" t="str">
        <f>'[1]1º TRIMESTRE'!V54</f>
        <v>andamento</v>
      </c>
      <c r="W54" s="24">
        <f t="shared" si="1"/>
        <v>-116116.35000000003</v>
      </c>
      <c r="X54" s="24"/>
      <c r="Y54" s="24">
        <f t="shared" si="2"/>
        <v>-116116.35000000003</v>
      </c>
      <c r="Z54" s="25" t="str">
        <f t="shared" si="3"/>
        <v>enc</v>
      </c>
    </row>
    <row r="55" spans="1:26" ht="33.75">
      <c r="A55" s="18" t="str">
        <f>'[1]1º TRIMESTRE'!A55</f>
        <v>Concorrência Licitação: 009/2021</v>
      </c>
      <c r="B55" s="18" t="str">
        <f>'[1]1º TRIMESTRE'!B55</f>
        <v>EXECUÇÃO DE SERVIÇOS DE RECUPERAÇÃO DE PASSARELAS, PONTILHÕES E ELEMENTOS LIMITADORES DE ESPAÇO OU PROTEÇÃO NAS DIVERSAS RPAS DA CIDADE DO RECIFE</v>
      </c>
      <c r="C55" s="19">
        <f>'[1]1º TRIMESTRE'!C55</f>
        <v>0</v>
      </c>
      <c r="D55" s="20">
        <f>'[1]1º TRIMESTRE'!D55</f>
        <v>0</v>
      </c>
      <c r="E55" s="21">
        <f>'[1]1º TRIMESTRE'!E55</f>
        <v>0</v>
      </c>
      <c r="F55" s="21">
        <f>'[1]1º TRIMESTRE'!F55</f>
        <v>0</v>
      </c>
      <c r="G55" s="18" t="str">
        <f>'[1]1º TRIMESTRE'!G55</f>
        <v>10.811.370/0001-62</v>
      </c>
      <c r="H55" s="18" t="str">
        <f>'[1]1º TRIMESTRE'!H55</f>
        <v>GUERRA CONSTRUCOES LTDA</v>
      </c>
      <c r="I55" s="19" t="str">
        <f>'[1]1º TRIMESTRE'!I55</f>
        <v>6-042/21</v>
      </c>
      <c r="J55" s="22">
        <f>'[1]1º TRIMESTRE'!J55</f>
        <v>44516</v>
      </c>
      <c r="K55" s="19">
        <f>'[1]1º TRIMESTRE'!K55</f>
        <v>790</v>
      </c>
      <c r="L55" s="21">
        <f>'[1]1º TRIMESTRE'!L55</f>
        <v>4874717.78</v>
      </c>
      <c r="M55" s="22">
        <f t="shared" si="0"/>
        <v>45306</v>
      </c>
      <c r="N55" s="19">
        <f>'[1]1º TRIMESTRE'!N55</f>
        <v>0</v>
      </c>
      <c r="O55" s="21">
        <f>'[1]1º TRIMESTRE'!O55</f>
        <v>1218573.5900000001</v>
      </c>
      <c r="P55" s="21">
        <f>'[1]1º TRIMESTRE'!P55</f>
        <v>0</v>
      </c>
      <c r="Q55" s="19" t="str">
        <f>'[1]1º TRIMESTRE'!Q55</f>
        <v>3.3.90.39</v>
      </c>
      <c r="R55" s="21">
        <f>'[1]1º TRIMESTRE'!R55</f>
        <v>5386719.5499999998</v>
      </c>
      <c r="S55" s="21">
        <v>0</v>
      </c>
      <c r="T55" s="21">
        <f>'[1]1º TRIMESTRE'!T55+S55</f>
        <v>301882.77</v>
      </c>
      <c r="U55" s="21">
        <f>'[1]1º TRIMESTRE'!U55+S55</f>
        <v>5386719.5500000007</v>
      </c>
      <c r="V55" s="23" t="str">
        <f>'[1]1º TRIMESTRE'!V55</f>
        <v>andamento</v>
      </c>
      <c r="W55" s="24">
        <f t="shared" si="1"/>
        <v>0</v>
      </c>
      <c r="X55" s="24"/>
      <c r="Y55" s="24">
        <f t="shared" si="2"/>
        <v>0</v>
      </c>
      <c r="Z55" s="25" t="str">
        <f t="shared" si="3"/>
        <v>and</v>
      </c>
    </row>
    <row r="56" spans="1:26" ht="22.5">
      <c r="A56" s="18" t="str">
        <f>'[1]1º TRIMESTRE'!A56</f>
        <v>TOMADA DE PREÇOS Licitação: 002/2022</v>
      </c>
      <c r="B56" s="18" t="str">
        <f>'[1]1º TRIMESTRE'!B56</f>
        <v>REQUALIFICAÇÃO DO PRÉDIO DO VELÓRIO DO CEMITÉRIO DE SANTO AMARO, LOCALIZADO NA RUA DO POMBAL, BAIRRO DE SANTO AMARO RECIFE</v>
      </c>
      <c r="C56" s="19">
        <f>'[1]1º TRIMESTRE'!C56</f>
        <v>0</v>
      </c>
      <c r="D56" s="20">
        <f>'[1]1º TRIMESTRE'!D56</f>
        <v>0</v>
      </c>
      <c r="E56" s="21">
        <f>'[1]1º TRIMESTRE'!E56</f>
        <v>0</v>
      </c>
      <c r="F56" s="21">
        <f>'[1]1º TRIMESTRE'!F56</f>
        <v>0</v>
      </c>
      <c r="G56" s="18" t="str">
        <f>'[1]1º TRIMESTRE'!G56</f>
        <v>10.893.105/0001-70</v>
      </c>
      <c r="H56" s="18" t="str">
        <f>'[1]1º TRIMESTRE'!H56</f>
        <v>AGILIS CONSTRUTORA LTDA</v>
      </c>
      <c r="I56" s="19" t="str">
        <f>'[1]1º TRIMESTRE'!I56</f>
        <v>6-043/22</v>
      </c>
      <c r="J56" s="22">
        <f>'[1]1º TRIMESTRE'!J56</f>
        <v>44763</v>
      </c>
      <c r="K56" s="19">
        <f>'[1]1º TRIMESTRE'!K56</f>
        <v>90</v>
      </c>
      <c r="L56" s="21">
        <f>'[1]1º TRIMESTRE'!L56</f>
        <v>350959.89</v>
      </c>
      <c r="M56" s="22">
        <f t="shared" si="0"/>
        <v>45063</v>
      </c>
      <c r="N56" s="19">
        <f>'[1]1º TRIMESTRE'!N56+30</f>
        <v>210</v>
      </c>
      <c r="O56" s="21">
        <f>'[1]1º TRIMESTRE'!O56+28104.94</f>
        <v>28104.94</v>
      </c>
      <c r="P56" s="21">
        <f>'[1]1º TRIMESTRE'!P56</f>
        <v>0</v>
      </c>
      <c r="Q56" s="19" t="str">
        <f>'[1]1º TRIMESTRE'!Q56</f>
        <v>4.4.90.39</v>
      </c>
      <c r="R56" s="21">
        <f>'[1]1º TRIMESTRE'!R56+117081.37</f>
        <v>345579.13</v>
      </c>
      <c r="S56" s="21">
        <v>118971.63</v>
      </c>
      <c r="T56" s="21">
        <f>'[1]1º TRIMESTRE'!T56+S56</f>
        <v>118971.63</v>
      </c>
      <c r="U56" s="21">
        <f>'[1]1º TRIMESTRE'!U56+S56</f>
        <v>304911.59999999998</v>
      </c>
      <c r="V56" s="23" t="str">
        <f>'[1]1º TRIMESTRE'!V56</f>
        <v>andamento</v>
      </c>
      <c r="W56" s="24">
        <f t="shared" si="1"/>
        <v>-40667.530000000028</v>
      </c>
      <c r="X56" s="24">
        <v>40667.53</v>
      </c>
      <c r="Y56" s="24">
        <f t="shared" si="2"/>
        <v>0</v>
      </c>
      <c r="Z56" s="25" t="str">
        <f t="shared" si="3"/>
        <v>enc</v>
      </c>
    </row>
    <row r="57" spans="1:26" ht="45">
      <c r="A57" s="18" t="str">
        <f>'[1]1º TRIMESTRE'!A57</f>
        <v>CONCORRÊNCIA / nº 006/2020</v>
      </c>
      <c r="B57" s="18" t="str">
        <f>'[1]1º TRIMESTRE'!B57</f>
        <v>CONTRATAÇÃO DE EMPRESA DE ENGENHARIA ESPECIALIZADA EM ILUMINAÇÃO PÚBLICA, PARA EXECUÇÃO DOS SERVIÇOS DE MANUTENÇÃO CONTÍNUA, CORRETIVA E PREVENTIVA, DO SISTEMA DE ILUMINAÇÃO PÚBLICA ESPECIAL DA CIDADE DO RECIFE, EM POSTES ACIMA DE 12 METROS DE ALTURA</v>
      </c>
      <c r="C57" s="19">
        <f>'[1]1º TRIMESTRE'!C57</f>
        <v>0</v>
      </c>
      <c r="D57" s="20">
        <f>'[1]1º TRIMESTRE'!D57</f>
        <v>0</v>
      </c>
      <c r="E57" s="21">
        <f>'[1]1º TRIMESTRE'!E57</f>
        <v>0</v>
      </c>
      <c r="F57" s="21">
        <f>'[1]1º TRIMESTRE'!F57</f>
        <v>0</v>
      </c>
      <c r="G57" s="18" t="str">
        <f>'[1]1º TRIMESTRE'!G57</f>
        <v>01.346.561/0001-00</v>
      </c>
      <c r="H57" s="18" t="str">
        <f>'[1]1º TRIMESTRE'!H57</f>
        <v>VASCONCELOS E SANTOS LTDA</v>
      </c>
      <c r="I57" s="19" t="str">
        <f>'[1]1º TRIMESTRE'!I57</f>
        <v>6-044/20</v>
      </c>
      <c r="J57" s="22">
        <f>'[1]1º TRIMESTRE'!J57</f>
        <v>44162</v>
      </c>
      <c r="K57" s="19">
        <f>'[1]1º TRIMESTRE'!K57</f>
        <v>790</v>
      </c>
      <c r="L57" s="21">
        <f>'[1]1º TRIMESTRE'!L57</f>
        <v>1704583.5</v>
      </c>
      <c r="M57" s="22">
        <f t="shared" si="0"/>
        <v>44952</v>
      </c>
      <c r="N57" s="19">
        <f>'[1]1º TRIMESTRE'!N57</f>
        <v>0</v>
      </c>
      <c r="O57" s="21">
        <f>'[1]1º TRIMESTRE'!O57</f>
        <v>302588</v>
      </c>
      <c r="P57" s="21">
        <f>'[1]1º TRIMESTRE'!P57</f>
        <v>0</v>
      </c>
      <c r="Q57" s="19" t="str">
        <f>'[1]1º TRIMESTRE'!Q57</f>
        <v>3.3.90.39</v>
      </c>
      <c r="R57" s="21">
        <f>'[1]1º TRIMESTRE'!R57</f>
        <v>1499919.8599999999</v>
      </c>
      <c r="S57" s="21">
        <v>0</v>
      </c>
      <c r="T57" s="21">
        <f>'[1]1º TRIMESTRE'!T57+S57</f>
        <v>0</v>
      </c>
      <c r="U57" s="21">
        <f>'[1]1º TRIMESTRE'!U57+S57</f>
        <v>1499919.8599999999</v>
      </c>
      <c r="V57" s="23" t="str">
        <f>'[1]1º TRIMESTRE'!V57</f>
        <v>encerrado</v>
      </c>
      <c r="W57" s="24">
        <f t="shared" si="1"/>
        <v>0</v>
      </c>
      <c r="X57" s="24"/>
      <c r="Y57" s="24">
        <f t="shared" si="2"/>
        <v>0</v>
      </c>
      <c r="Z57" s="25" t="str">
        <f t="shared" si="3"/>
        <v>enc</v>
      </c>
    </row>
    <row r="58" spans="1:26" ht="22.5">
      <c r="A58" s="18" t="str">
        <f>'[1]1º TRIMESTRE'!A58</f>
        <v>CONCORRÊNCIA Licitação: 006/2022</v>
      </c>
      <c r="B58" s="18" t="str">
        <f>'[1]1º TRIMESTRE'!B58</f>
        <v>RECUPERAÇÃO DE CONTENÇÃO DE CANAIS, NAS DIVERSAS REGIÃO POLITICO ADMINISTRATIVA RPA'S DA CIDADE DO RECIFE</v>
      </c>
      <c r="C58" s="19" t="str">
        <f>'[1]1º TRIMESTRE'!C58</f>
        <v>40.00017-6</v>
      </c>
      <c r="D58" s="20" t="str">
        <f>'[1]1º TRIMESTRE'!D58</f>
        <v>BANCO DO BRASIL</v>
      </c>
      <c r="E58" s="21">
        <f>'[1]1º TRIMESTRE'!E58</f>
        <v>0</v>
      </c>
      <c r="F58" s="21">
        <f>'[1]1º TRIMESTRE'!F58</f>
        <v>0</v>
      </c>
      <c r="G58" s="18" t="str">
        <f>'[1]1º TRIMESTRE'!G58</f>
        <v>10.811.370/0001-62</v>
      </c>
      <c r="H58" s="18" t="str">
        <f>'[1]1º TRIMESTRE'!H58</f>
        <v>GUERRA CONSTRUCOES LTDA</v>
      </c>
      <c r="I58" s="19" t="str">
        <f>'[1]1º TRIMESTRE'!I58</f>
        <v>6-046/22</v>
      </c>
      <c r="J58" s="22">
        <f>'[1]1º TRIMESTRE'!J58</f>
        <v>44776</v>
      </c>
      <c r="K58" s="19">
        <f>'[1]1º TRIMESTRE'!K58</f>
        <v>600</v>
      </c>
      <c r="L58" s="21">
        <f>'[1]1º TRIMESTRE'!L58</f>
        <v>6573647.8899999997</v>
      </c>
      <c r="M58" s="22">
        <f t="shared" si="0"/>
        <v>45376</v>
      </c>
      <c r="N58" s="19">
        <f>'[1]1º TRIMESTRE'!N58</f>
        <v>0</v>
      </c>
      <c r="O58" s="21">
        <f>'[1]1º TRIMESTRE'!O58+575382.92</f>
        <v>1382003.52</v>
      </c>
      <c r="P58" s="21">
        <f>'[1]1º TRIMESTRE'!P58</f>
        <v>0</v>
      </c>
      <c r="Q58" s="19" t="str">
        <f>'[1]1º TRIMESTRE'!Q58</f>
        <v>4.4.90.39</v>
      </c>
      <c r="R58" s="21">
        <f>'[1]1º TRIMESTRE'!R58+1367474.82</f>
        <v>4135239.21</v>
      </c>
      <c r="S58" s="21">
        <v>2048893.34</v>
      </c>
      <c r="T58" s="21">
        <f>'[1]1º TRIMESTRE'!T58+S58</f>
        <v>2048893.34</v>
      </c>
      <c r="U58" s="21">
        <f>'[1]1º TRIMESTRE'!U58+S58</f>
        <v>4135239.21</v>
      </c>
      <c r="V58" s="23" t="str">
        <f>'[1]1º TRIMESTRE'!V58</f>
        <v>andamento</v>
      </c>
      <c r="W58" s="24">
        <f t="shared" si="1"/>
        <v>0</v>
      </c>
      <c r="X58" s="24"/>
      <c r="Y58" s="24">
        <f t="shared" si="2"/>
        <v>0</v>
      </c>
      <c r="Z58" s="25" t="str">
        <f t="shared" si="3"/>
        <v>and</v>
      </c>
    </row>
    <row r="59" spans="1:26" ht="45">
      <c r="A59" s="18" t="str">
        <f>'[1]1º TRIMESTRE'!A59</f>
        <v>CONCORRÊNCIA Licitação: 005/2022</v>
      </c>
      <c r="B59" s="18" t="str">
        <f>'[1]1º TRIMESTRE'!B59</f>
        <v>CONTRATAÇÃO DE EMPRESA DE ENGENHARIA ESPECIALIZADA EM ILUMINAÇÃO PÚBLICA PARA FORNECIMENTO E INSTALAÇÃO DE SISTEMA DE PROTEÇÃO CONTRA VAZAMENTO DE CORRENTE E ATERRAMENTO NOS POSTES EXCLUSIVOS DE ILUMINAÇÃO PÚBLICA NA CIDADE DO RECIFE/PE</v>
      </c>
      <c r="C59" s="19">
        <f>'[1]1º TRIMESTRE'!C59</f>
        <v>0</v>
      </c>
      <c r="D59" s="20">
        <f>'[1]1º TRIMESTRE'!D59</f>
        <v>0</v>
      </c>
      <c r="E59" s="21">
        <f>'[1]1º TRIMESTRE'!E59</f>
        <v>0</v>
      </c>
      <c r="F59" s="21">
        <f>'[1]1º TRIMESTRE'!F59</f>
        <v>0</v>
      </c>
      <c r="G59" s="18" t="str">
        <f>'[1]1º TRIMESTRE'!G59</f>
        <v>41.116.138/0001-38</v>
      </c>
      <c r="H59" s="18" t="str">
        <f>'[1]1º TRIMESTRE'!H59</f>
        <v>REAL ENERGY LTDA</v>
      </c>
      <c r="I59" s="19" t="str">
        <f>'[1]1º TRIMESTRE'!I59</f>
        <v>6-047/22</v>
      </c>
      <c r="J59" s="22">
        <f>'[1]1º TRIMESTRE'!J59</f>
        <v>44774</v>
      </c>
      <c r="K59" s="19">
        <f>'[1]1º TRIMESTRE'!K59</f>
        <v>760</v>
      </c>
      <c r="L59" s="21">
        <f>'[1]1º TRIMESTRE'!L59</f>
        <v>3890767.22</v>
      </c>
      <c r="M59" s="22">
        <f t="shared" si="0"/>
        <v>45534</v>
      </c>
      <c r="N59" s="19">
        <f>'[1]1º TRIMESTRE'!N59</f>
        <v>0</v>
      </c>
      <c r="O59" s="21">
        <f>'[1]1º TRIMESTRE'!O59+452758.85</f>
        <v>452758.85</v>
      </c>
      <c r="P59" s="21">
        <f>'[1]1º TRIMESTRE'!P59</f>
        <v>0</v>
      </c>
      <c r="Q59" s="19" t="str">
        <f>'[1]1º TRIMESTRE'!Q59</f>
        <v>3.3.90.39</v>
      </c>
      <c r="R59" s="21">
        <f>'[1]1º TRIMESTRE'!R59+333052.81</f>
        <v>905851.62000000011</v>
      </c>
      <c r="S59" s="21">
        <v>333052.81</v>
      </c>
      <c r="T59" s="21">
        <f>'[1]1º TRIMESTRE'!T59+S59</f>
        <v>729041.48</v>
      </c>
      <c r="U59" s="21">
        <f>'[1]1º TRIMESTRE'!U59+S59</f>
        <v>905851.62000000011</v>
      </c>
      <c r="V59" s="23" t="str">
        <f>'[1]1º TRIMESTRE'!V59</f>
        <v>andamento</v>
      </c>
      <c r="W59" s="24">
        <f t="shared" si="1"/>
        <v>0</v>
      </c>
      <c r="X59" s="24"/>
      <c r="Y59" s="24">
        <f t="shared" si="2"/>
        <v>0</v>
      </c>
      <c r="Z59" s="25" t="str">
        <f t="shared" si="3"/>
        <v>and</v>
      </c>
    </row>
    <row r="60" spans="1:26" ht="22.5">
      <c r="A60" s="18" t="str">
        <f>'[1]1º TRIMESTRE'!A60</f>
        <v>CONCORRÊNCIA Licitação: 019/2019</v>
      </c>
      <c r="B60" s="18" t="str">
        <f>'[1]1º TRIMESTRE'!B60</f>
        <v>SERVIÇOS DE MANUTENÇÃO DO SISTEMA DE MICRODRENAGEM DAS AGUAS PLUVIAIS DO MUNICIPIO DO RECIFE RPA 1</v>
      </c>
      <c r="C60" s="19">
        <f>'[1]1º TRIMESTRE'!C60</f>
        <v>0</v>
      </c>
      <c r="D60" s="20">
        <f>'[1]1º TRIMESTRE'!D60</f>
        <v>0</v>
      </c>
      <c r="E60" s="21">
        <f>'[1]1º TRIMESTRE'!E60</f>
        <v>0</v>
      </c>
      <c r="F60" s="21">
        <f>'[1]1º TRIMESTRE'!F60</f>
        <v>0</v>
      </c>
      <c r="G60" s="18" t="str">
        <f>'[1]1º TRIMESTRE'!G60</f>
        <v>07.086.088/0001-55</v>
      </c>
      <c r="H60" s="18" t="str">
        <f>'[1]1º TRIMESTRE'!H60</f>
        <v>SOLO CONSTRUCOES E TERRAPLANAGEM LTDA</v>
      </c>
      <c r="I60" s="19" t="str">
        <f>'[1]1º TRIMESTRE'!I60</f>
        <v>6-048/20</v>
      </c>
      <c r="J60" s="22">
        <f>'[1]1º TRIMESTRE'!J60</f>
        <v>44168</v>
      </c>
      <c r="K60" s="19">
        <f>'[1]1º TRIMESTRE'!K60</f>
        <v>1125</v>
      </c>
      <c r="L60" s="21">
        <f>'[1]1º TRIMESTRE'!L60</f>
        <v>16571981.609999999</v>
      </c>
      <c r="M60" s="22">
        <f t="shared" si="0"/>
        <v>45293</v>
      </c>
      <c r="N60" s="19">
        <f>'[1]1º TRIMESTRE'!N60</f>
        <v>0</v>
      </c>
      <c r="O60" s="21">
        <f>'[1]1º TRIMESTRE'!O60</f>
        <v>4067901.64</v>
      </c>
      <c r="P60" s="21">
        <f>'[1]1º TRIMESTRE'!P60</f>
        <v>5625476.3700000001</v>
      </c>
      <c r="Q60" s="19" t="str">
        <f>'[1]1º TRIMESTRE'!Q60</f>
        <v>3.3.90.39</v>
      </c>
      <c r="R60" s="21">
        <f>'[1]1º TRIMESTRE'!R60+1498817.4</f>
        <v>16639070.25</v>
      </c>
      <c r="S60" s="21">
        <v>2283746.06</v>
      </c>
      <c r="T60" s="21">
        <f>'[1]1º TRIMESTRE'!T60+S60</f>
        <v>3304898.49</v>
      </c>
      <c r="U60" s="21">
        <f>'[1]1º TRIMESTRE'!U60+S60</f>
        <v>15880711.709999999</v>
      </c>
      <c r="V60" s="23" t="str">
        <f>'[1]1º TRIMESTRE'!V60</f>
        <v>andamento</v>
      </c>
      <c r="W60" s="24">
        <f t="shared" si="1"/>
        <v>-758358.54000000097</v>
      </c>
      <c r="X60" s="24">
        <v>690717.24</v>
      </c>
      <c r="Y60" s="24">
        <f t="shared" si="2"/>
        <v>-67641.300000000978</v>
      </c>
      <c r="Z60" s="25" t="str">
        <f t="shared" si="3"/>
        <v>and</v>
      </c>
    </row>
    <row r="61" spans="1:26" ht="45">
      <c r="A61" s="18" t="str">
        <f>'[1]1º TRIMESTRE'!A61</f>
        <v>PREGÃO ELETRÔNICO Licitação: 012/2022</v>
      </c>
      <c r="B61" s="18" t="str">
        <f>'[1]1º TRIMESTRE'!B61</f>
        <v>CONTRATAÇÃO DE EMPRESA DE ENGENHARIA ESPECIALIZADA EM ILUMINAÇÃO PÚBLICA, PARA EXECUÇÃO DOS SERVIÇOS DE MANUTENÇÃO CONTÍNUA, CORRETIVA E PREVENTIVA, DO SISTEMA DE ILUMINAÇÃO PÚBLICA ESPECIAL DA CIDADE DO RECIFE, EM POSTES ACIMA DE 12 METROS DE ALTURA</v>
      </c>
      <c r="C61" s="19">
        <f>'[1]1º TRIMESTRE'!C61</f>
        <v>0</v>
      </c>
      <c r="D61" s="20">
        <f>'[1]1º TRIMESTRE'!D61</f>
        <v>0</v>
      </c>
      <c r="E61" s="21">
        <f>'[1]1º TRIMESTRE'!E61</f>
        <v>0</v>
      </c>
      <c r="F61" s="21">
        <f>'[1]1º TRIMESTRE'!F61</f>
        <v>0</v>
      </c>
      <c r="G61" s="18" t="str">
        <f>'[1]1º TRIMESTRE'!G61</f>
        <v>32.185.141/0001-12</v>
      </c>
      <c r="H61" s="18" t="str">
        <f>'[1]1º TRIMESTRE'!H61</f>
        <v>CASTRO &amp; ROCHA LTDA</v>
      </c>
      <c r="I61" s="19" t="str">
        <f>'[1]1º TRIMESTRE'!I61</f>
        <v>6-048/22</v>
      </c>
      <c r="J61" s="22">
        <f>'[1]1º TRIMESTRE'!J61</f>
        <v>44776</v>
      </c>
      <c r="K61" s="19">
        <f>'[1]1º TRIMESTRE'!K61</f>
        <v>907</v>
      </c>
      <c r="L61" s="21">
        <f>'[1]1º TRIMESTRE'!L61</f>
        <v>2538999.92</v>
      </c>
      <c r="M61" s="22">
        <f t="shared" si="0"/>
        <v>45683</v>
      </c>
      <c r="N61" s="19">
        <f>'[1]1º TRIMESTRE'!N61</f>
        <v>0</v>
      </c>
      <c r="O61" s="21">
        <f>'[1]1º TRIMESTRE'!O61</f>
        <v>0</v>
      </c>
      <c r="P61" s="21">
        <f>'[1]1º TRIMESTRE'!P61</f>
        <v>0</v>
      </c>
      <c r="Q61" s="19" t="str">
        <f>'[1]1º TRIMESTRE'!Q61</f>
        <v>3.3.90.39</v>
      </c>
      <c r="R61" s="21">
        <f>'[1]1º TRIMESTRE'!R61+293784.4</f>
        <v>540929.19000000006</v>
      </c>
      <c r="S61" s="21">
        <v>284534.58</v>
      </c>
      <c r="T61" s="21">
        <f>'[1]1º TRIMESTRE'!T61+S61</f>
        <v>365296.29000000004</v>
      </c>
      <c r="U61" s="21">
        <f>'[1]1º TRIMESTRE'!U61+S61</f>
        <v>435488.64</v>
      </c>
      <c r="V61" s="23" t="str">
        <f>'[1]1º TRIMESTRE'!V61</f>
        <v>andamento</v>
      </c>
      <c r="W61" s="24">
        <f t="shared" si="1"/>
        <v>-105440.55000000005</v>
      </c>
      <c r="X61" s="24">
        <v>105440.55</v>
      </c>
      <c r="Y61" s="24">
        <f t="shared" si="2"/>
        <v>0</v>
      </c>
      <c r="Z61" s="25" t="str">
        <f t="shared" si="3"/>
        <v>and</v>
      </c>
    </row>
    <row r="62" spans="1:26" ht="56.25">
      <c r="A62" s="18" t="str">
        <f>'[1]1º TRIMESTRE'!A62</f>
        <v>PREGÃO ELETRÔNICO Licitação: 001/2022</v>
      </c>
      <c r="B62" s="18" t="str">
        <f>'[1]1º TRIMESTRE'!B62</f>
        <v>CONTRATAÇÃO DE PESSOA JURÍDICA ESPECIALIZADA EM ENGENHARIA SANITÁRIA PARA RECEBIMENTO, TRATAMENTO E DISPOSIÇÃO FINAL DE RESÍDUOS SÓLIDOS URBANOS CLASSE IIA E CLASSE IIB COLETADOS PELA EMLURB NO MUNICÍPIO DE RECIFE, NOS LOTES ABAIXO ESPECIFICADOS E SUAS RESPECTIVAS QUANTIDADES ESTIMATIVAS. LOTE I</v>
      </c>
      <c r="C62" s="19">
        <f>'[1]1º TRIMESTRE'!C62</f>
        <v>0</v>
      </c>
      <c r="D62" s="20">
        <f>'[1]1º TRIMESTRE'!D62</f>
        <v>0</v>
      </c>
      <c r="E62" s="21">
        <f>'[1]1º TRIMESTRE'!E62</f>
        <v>0</v>
      </c>
      <c r="F62" s="21">
        <f>'[1]1º TRIMESTRE'!F62</f>
        <v>0</v>
      </c>
      <c r="G62" s="18" t="str">
        <f>'[1]1º TRIMESTRE'!G62</f>
        <v>03.279.285/0027-79</v>
      </c>
      <c r="H62" s="18" t="str">
        <f>'[1]1º TRIMESTRE'!H62</f>
        <v>ORIZON MEIO AMBIENTE S.A.</v>
      </c>
      <c r="I62" s="19" t="str">
        <f>'[1]1º TRIMESTRE'!I62</f>
        <v>6-049/22</v>
      </c>
      <c r="J62" s="22">
        <f>'[1]1º TRIMESTRE'!J62</f>
        <v>44775</v>
      </c>
      <c r="K62" s="19">
        <f>'[1]1º TRIMESTRE'!K62</f>
        <v>365</v>
      </c>
      <c r="L62" s="21">
        <f>'[1]1º TRIMESTRE'!L62</f>
        <v>50446292</v>
      </c>
      <c r="M62" s="22">
        <f t="shared" si="0"/>
        <v>45140</v>
      </c>
      <c r="N62" s="19">
        <f>'[1]1º TRIMESTRE'!N62</f>
        <v>0</v>
      </c>
      <c r="O62" s="21">
        <f>'[1]1º TRIMESTRE'!O62</f>
        <v>0</v>
      </c>
      <c r="P62" s="21">
        <f>'[1]1º TRIMESTRE'!P62</f>
        <v>0</v>
      </c>
      <c r="Q62" s="19" t="str">
        <f>'[1]1º TRIMESTRE'!Q62</f>
        <v>3.3.90.39</v>
      </c>
      <c r="R62" s="21">
        <f>'[1]1º TRIMESTRE'!R62+10832958.78</f>
        <v>37388518.310000002</v>
      </c>
      <c r="S62" s="21">
        <v>10832958.779999999</v>
      </c>
      <c r="T62" s="21">
        <f>'[1]1º TRIMESTRE'!T62+S62</f>
        <v>21044886.539999999</v>
      </c>
      <c r="U62" s="21">
        <f>'[1]1º TRIMESTRE'!U62+S62</f>
        <v>37388518.310000002</v>
      </c>
      <c r="V62" s="23" t="str">
        <f>'[1]1º TRIMESTRE'!V62</f>
        <v>andamento</v>
      </c>
      <c r="W62" s="24">
        <f t="shared" si="1"/>
        <v>0</v>
      </c>
      <c r="X62" s="24"/>
      <c r="Y62" s="24">
        <f t="shared" si="2"/>
        <v>0</v>
      </c>
      <c r="Z62" s="25" t="str">
        <f t="shared" si="3"/>
        <v>and</v>
      </c>
    </row>
    <row r="63" spans="1:26" ht="56.25">
      <c r="A63" s="18" t="str">
        <f>'[1]1º TRIMESTRE'!A63</f>
        <v>PREGÃO ELETRÔNICO Licitação: 001/2022</v>
      </c>
      <c r="B63" s="18" t="str">
        <f>'[1]1º TRIMESTRE'!B63</f>
        <v>CONTRATAÇÃO DE PESSOA JURÍDICA ESPECIALIZADA EM ENGENHARIA SANITÁRIA PARA RECEBIMENTO, TRATAMENTO E DISPOSIÇÃO FINAL DE RESÍDUOS SÓLIDOS URBANOS CLASSE IIA E CLASSE IIB COLETADOS PELA EMLURB NO MUNICÍPIO DE RECIFE, NOS LOTES ABAIXO ESPECIFICADOS E SUAS RESPECTIVAS QUANTIDADES ESTIMATIVAS. LOTE II</v>
      </c>
      <c r="C63" s="19">
        <f>'[1]1º TRIMESTRE'!C63</f>
        <v>0</v>
      </c>
      <c r="D63" s="20">
        <f>'[1]1º TRIMESTRE'!D63</f>
        <v>0</v>
      </c>
      <c r="E63" s="21">
        <f>'[1]1º TRIMESTRE'!E63</f>
        <v>0</v>
      </c>
      <c r="F63" s="21">
        <f>'[1]1º TRIMESTRE'!F63</f>
        <v>0</v>
      </c>
      <c r="G63" s="18" t="str">
        <f>'[1]1º TRIMESTRE'!G63</f>
        <v>03.279.285/0027-79</v>
      </c>
      <c r="H63" s="18" t="str">
        <f>'[1]1º TRIMESTRE'!H63</f>
        <v>ORIZON MEIO AMBIENTE S.A.</v>
      </c>
      <c r="I63" s="19" t="str">
        <f>'[1]1º TRIMESTRE'!I63</f>
        <v>6-050/22</v>
      </c>
      <c r="J63" s="22">
        <f>'[1]1º TRIMESTRE'!J63</f>
        <v>44775</v>
      </c>
      <c r="K63" s="19">
        <f>'[1]1º TRIMESTRE'!K63</f>
        <v>365</v>
      </c>
      <c r="L63" s="21">
        <f>'[1]1º TRIMESTRE'!L63</f>
        <v>12552600</v>
      </c>
      <c r="M63" s="22">
        <f t="shared" si="0"/>
        <v>45140</v>
      </c>
      <c r="N63" s="19">
        <f>'[1]1º TRIMESTRE'!N63</f>
        <v>0</v>
      </c>
      <c r="O63" s="21">
        <f>'[1]1º TRIMESTRE'!O63</f>
        <v>0</v>
      </c>
      <c r="P63" s="21">
        <f>'[1]1º TRIMESTRE'!P63</f>
        <v>0</v>
      </c>
      <c r="Q63" s="19" t="str">
        <f>'[1]1º TRIMESTRE'!Q63</f>
        <v>3.3.90.39</v>
      </c>
      <c r="R63" s="21">
        <f>'[1]1º TRIMESTRE'!R63+2615628.16</f>
        <v>9195260.6699999999</v>
      </c>
      <c r="S63" s="21">
        <v>2615628.16</v>
      </c>
      <c r="T63" s="21">
        <f>'[1]1º TRIMESTRE'!T63+S63</f>
        <v>4839768.57</v>
      </c>
      <c r="U63" s="21">
        <f>'[1]1º TRIMESTRE'!U63+S63</f>
        <v>9195260.6699999999</v>
      </c>
      <c r="V63" s="23" t="str">
        <f>'[1]1º TRIMESTRE'!V63</f>
        <v>andamento</v>
      </c>
      <c r="W63" s="24">
        <f t="shared" si="1"/>
        <v>0</v>
      </c>
      <c r="X63" s="24"/>
      <c r="Y63" s="24">
        <f t="shared" si="2"/>
        <v>0</v>
      </c>
      <c r="Z63" s="25" t="str">
        <f t="shared" si="3"/>
        <v>and</v>
      </c>
    </row>
    <row r="64" spans="1:26" ht="45">
      <c r="A64" s="18" t="str">
        <f>'[1]1º TRIMESTRE'!A64</f>
        <v>PREGÃO ELETRÔNICO Licitação: 023/2022</v>
      </c>
      <c r="B64" s="18" t="str">
        <f>'[1]1º TRIMESTRE'!B64</f>
        <v>CONTRATAÇÃO DE EMPRESA DE ENGENHARIA ESPECIALIZADA PARA A EXECUÇÃO DOS SERVIÇOS DE PAVIMENTAÇÃO E DRENAGEM COM A ELEVAÇÃO DE GREIDE NA AVENIDA AGAMENON MAGALHÃES, NO TRECHO ENTRE PARQUE AMORIM E A MC DONALD'S, BAIRRO DAS GRAÇAS, RECIFE/PE</v>
      </c>
      <c r="C64" s="19" t="s">
        <v>35</v>
      </c>
      <c r="D64" s="20" t="s">
        <v>36</v>
      </c>
      <c r="E64" s="21">
        <f>'[1]1º TRIMESTRE'!E64</f>
        <v>0</v>
      </c>
      <c r="F64" s="21">
        <f>'[1]1º TRIMESTRE'!F64</f>
        <v>0</v>
      </c>
      <c r="G64" s="18" t="str">
        <f>'[1]1º TRIMESTRE'!G64</f>
        <v>02.724.778/0001-79</v>
      </c>
      <c r="H64" s="18" t="str">
        <f>'[1]1º TRIMESTRE'!H64</f>
        <v>UNITERRA - UNIAO TERRAPLENAGEM E CONSTRUCOES LTDA</v>
      </c>
      <c r="I64" s="19" t="str">
        <f>'[1]1º TRIMESTRE'!I64</f>
        <v>6-051/22</v>
      </c>
      <c r="J64" s="22">
        <f>'[1]1º TRIMESTRE'!J64</f>
        <v>44777</v>
      </c>
      <c r="K64" s="19">
        <f>'[1]1º TRIMESTRE'!K64</f>
        <v>222</v>
      </c>
      <c r="L64" s="21">
        <f>'[1]1º TRIMESTRE'!L64</f>
        <v>3553996.19</v>
      </c>
      <c r="M64" s="22">
        <f t="shared" si="0"/>
        <v>45119</v>
      </c>
      <c r="N64" s="19">
        <f>'[1]1º TRIMESTRE'!N64+60</f>
        <v>120</v>
      </c>
      <c r="O64" s="21">
        <f>'[1]1º TRIMESTRE'!O64+870693.78</f>
        <v>870693.78</v>
      </c>
      <c r="P64" s="21">
        <f>'[1]1º TRIMESTRE'!P64</f>
        <v>0</v>
      </c>
      <c r="Q64" s="19" t="str">
        <f>'[1]1º TRIMESTRE'!Q64</f>
        <v>4.4.90.39</v>
      </c>
      <c r="R64" s="21">
        <f>'[1]1º TRIMESTRE'!R64+3186479.03</f>
        <v>4236114.9799999995</v>
      </c>
      <c r="S64" s="21">
        <v>3186479.03</v>
      </c>
      <c r="T64" s="21">
        <f>'[1]1º TRIMESTRE'!T64+S64</f>
        <v>4236114.9799999995</v>
      </c>
      <c r="U64" s="21">
        <f>'[1]1º TRIMESTRE'!U64+S64</f>
        <v>4236114.9799999995</v>
      </c>
      <c r="V64" s="23" t="str">
        <f>'[1]1º TRIMESTRE'!V64</f>
        <v>andamento</v>
      </c>
      <c r="W64" s="24">
        <f t="shared" si="1"/>
        <v>0</v>
      </c>
      <c r="X64" s="24"/>
      <c r="Y64" s="24">
        <f t="shared" si="2"/>
        <v>0</v>
      </c>
      <c r="Z64" s="25" t="str">
        <f t="shared" si="3"/>
        <v>and</v>
      </c>
    </row>
    <row r="65" spans="1:26" ht="45">
      <c r="A65" s="18" t="str">
        <f>'[1]1º TRIMESTRE'!A65</f>
        <v>PREGÃO ELETRÔNICO Licitação: 022/2022</v>
      </c>
      <c r="B65" s="18" t="str">
        <f>'[1]1º TRIMESTRE'!B65</f>
        <v>CONTRATAÇÃO DE EMPRESA ESPECIALIZADA NO RAMO DE ENGENHARIA PARA EXECUÇÃO DE DEMOLIÇÃO E CONSTRUÇÃO DO MÓDULO 66 (GAVETAS E OSSUÁRIOS) E RECUPERAÇÃO ESTRUTURAL DO MURO DIVISA COM O IML, LOCALIZADOS NO CEMITÉRIO DE SANTO AMARO, BAIRRO DE SANTO AMARO</v>
      </c>
      <c r="C65" s="19">
        <f>'[1]1º TRIMESTRE'!C65</f>
        <v>0</v>
      </c>
      <c r="D65" s="20">
        <f>'[1]1º TRIMESTRE'!D65</f>
        <v>0</v>
      </c>
      <c r="E65" s="21">
        <f>'[1]1º TRIMESTRE'!E65</f>
        <v>0</v>
      </c>
      <c r="F65" s="21">
        <f>'[1]1º TRIMESTRE'!F65</f>
        <v>0</v>
      </c>
      <c r="G65" s="18" t="str">
        <f>'[1]1º TRIMESTRE'!G65</f>
        <v>34.071.337/0001-01</v>
      </c>
      <c r="H65" s="18" t="str">
        <f>'[1]1º TRIMESTRE'!H65</f>
        <v>FONTE SOUTO CONSTRUÇÕES EIRELI</v>
      </c>
      <c r="I65" s="19" t="str">
        <f>'[1]1º TRIMESTRE'!I65</f>
        <v>6-052/22</v>
      </c>
      <c r="J65" s="22">
        <f>'[1]1º TRIMESTRE'!J65</f>
        <v>44782</v>
      </c>
      <c r="K65" s="19">
        <f>'[1]1º TRIMESTRE'!K65</f>
        <v>150</v>
      </c>
      <c r="L65" s="21">
        <f>'[1]1º TRIMESTRE'!L65</f>
        <v>274949.26</v>
      </c>
      <c r="M65" s="22">
        <f t="shared" si="0"/>
        <v>44992</v>
      </c>
      <c r="N65" s="19">
        <f>'[1]1º TRIMESTRE'!N65</f>
        <v>60</v>
      </c>
      <c r="O65" s="21">
        <f>'[1]1º TRIMESTRE'!O65</f>
        <v>0</v>
      </c>
      <c r="P65" s="21">
        <f>'[1]1º TRIMESTRE'!P65</f>
        <v>0</v>
      </c>
      <c r="Q65" s="19" t="str">
        <f>'[1]1º TRIMESTRE'!Q65</f>
        <v>4.4.90.39</v>
      </c>
      <c r="R65" s="21">
        <f>'[1]1º TRIMESTRE'!R65</f>
        <v>193270.53</v>
      </c>
      <c r="S65" s="21">
        <v>0</v>
      </c>
      <c r="T65" s="21">
        <f>'[1]1º TRIMESTRE'!T65+S65</f>
        <v>23302</v>
      </c>
      <c r="U65" s="21">
        <f>'[1]1º TRIMESTRE'!U65+S65</f>
        <v>193270.53</v>
      </c>
      <c r="V65" s="23" t="str">
        <f>'[1]1º TRIMESTRE'!V65</f>
        <v>andamento</v>
      </c>
      <c r="W65" s="24">
        <f t="shared" si="1"/>
        <v>0</v>
      </c>
      <c r="X65" s="24"/>
      <c r="Y65" s="24">
        <f t="shared" si="2"/>
        <v>0</v>
      </c>
      <c r="Z65" s="25" t="str">
        <f t="shared" si="3"/>
        <v>enc</v>
      </c>
    </row>
    <row r="66" spans="1:26" ht="33.75">
      <c r="A66" s="18" t="str">
        <f>'[1]1º TRIMESTRE'!A66</f>
        <v>PREGÃO ELETRÔNICO Licitação: 026/2021</v>
      </c>
      <c r="B66" s="18" t="str">
        <f>'[1]1º TRIMESTRE'!B66</f>
        <v>CONTRATAÇÃO DE EMPRESA ESPECIALIZADA EM ENGENHARIA SANITÁRIA PARA A EXECUÇÃO DOS SERVIÇOS DE COLETA E LIMPEZA URBANA NO MUNICÍPIO DO RECIFE</v>
      </c>
      <c r="C66" s="19">
        <f>'[1]1º TRIMESTRE'!C66</f>
        <v>0</v>
      </c>
      <c r="D66" s="20">
        <f>'[1]1º TRIMESTRE'!D66</f>
        <v>0</v>
      </c>
      <c r="E66" s="21">
        <f>'[1]1º TRIMESTRE'!E66</f>
        <v>0</v>
      </c>
      <c r="F66" s="21">
        <f>'[1]1º TRIMESTRE'!F66</f>
        <v>0</v>
      </c>
      <c r="G66" s="18" t="str">
        <f>'[1]1º TRIMESTRE'!G66</f>
        <v>40.884.405/0001-54</v>
      </c>
      <c r="H66" s="18" t="str">
        <f>'[1]1º TRIMESTRE'!H66</f>
        <v>LOQUIPE LOCACAO DE EQUIPAMENTOS E MAO DE OBRA LTDA</v>
      </c>
      <c r="I66" s="19" t="str">
        <f>'[1]1º TRIMESTRE'!I66</f>
        <v>6-053/21</v>
      </c>
      <c r="J66" s="22">
        <f>'[1]1º TRIMESTRE'!J66</f>
        <v>44530</v>
      </c>
      <c r="K66" s="19">
        <f>'[1]1º TRIMESTRE'!K66</f>
        <v>1920</v>
      </c>
      <c r="L66" s="21">
        <f>'[1]1º TRIMESTRE'!L66</f>
        <v>133146086.40000001</v>
      </c>
      <c r="M66" s="22">
        <f t="shared" si="0"/>
        <v>46450</v>
      </c>
      <c r="N66" s="19">
        <f>'[1]1º TRIMESTRE'!N66</f>
        <v>0</v>
      </c>
      <c r="O66" s="21">
        <f>'[1]1º TRIMESTRE'!O66</f>
        <v>0</v>
      </c>
      <c r="P66" s="21">
        <f>'[1]1º TRIMESTRE'!P66</f>
        <v>28492880.399999999</v>
      </c>
      <c r="Q66" s="19" t="str">
        <f>'[1]1º TRIMESTRE'!Q66</f>
        <v>3.3.90.39</v>
      </c>
      <c r="R66" s="21">
        <f>'[1]1º TRIMESTRE'!R66+8467758.34</f>
        <v>40974809.310000002</v>
      </c>
      <c r="S66" s="21">
        <v>8739893.4100000001</v>
      </c>
      <c r="T66" s="21">
        <f>'[1]1º TRIMESTRE'!T66+S66</f>
        <v>16994742.59</v>
      </c>
      <c r="U66" s="21">
        <f>'[1]1º TRIMESTRE'!U66+S66</f>
        <v>40974809.310000002</v>
      </c>
      <c r="V66" s="23" t="str">
        <f>'[1]1º TRIMESTRE'!V66</f>
        <v>andamento</v>
      </c>
      <c r="W66" s="24">
        <f t="shared" si="1"/>
        <v>0</v>
      </c>
      <c r="X66" s="24"/>
      <c r="Y66" s="24">
        <f t="shared" si="2"/>
        <v>0</v>
      </c>
      <c r="Z66" s="25" t="str">
        <f t="shared" si="3"/>
        <v>and</v>
      </c>
    </row>
    <row r="67" spans="1:26" ht="45">
      <c r="A67" s="18" t="str">
        <f>'[1]1º TRIMESTRE'!A67</f>
        <v>CONCORRÊNCIA Licitação: 009/2022</v>
      </c>
      <c r="B67" s="18" t="str">
        <f>'[1]1º TRIMESTRE'!B67</f>
        <v>CONTRATAÇÃO DE EMPRESA DE ENGENHARIA PARA EXECUÇÃO DA RECUPERAÇÃO ESTRUTURAL E MANUTENÇÃO PREVENTIVA E CORRETIVA DAS TORRES DE ILUMINAÇÃO PÚBLICA DA ORLA DA AVENIDA BOA VIAGEM, RECIFE/PE</v>
      </c>
      <c r="C67" s="19">
        <f>'[1]1º TRIMESTRE'!C67</f>
        <v>0</v>
      </c>
      <c r="D67" s="20">
        <f>'[1]1º TRIMESTRE'!D67</f>
        <v>0</v>
      </c>
      <c r="E67" s="21">
        <f>'[1]1º TRIMESTRE'!E67</f>
        <v>0</v>
      </c>
      <c r="F67" s="21">
        <f>'[1]1º TRIMESTRE'!F67</f>
        <v>0</v>
      </c>
      <c r="G67" s="18" t="str">
        <f>'[1]1º TRIMESTRE'!G67</f>
        <v>03.834.750/0001-57</v>
      </c>
      <c r="H67" s="18" t="str">
        <f>'[1]1º TRIMESTRE'!H67</f>
        <v>EIP SERVICOS DE ILUMINACAO LTDA</v>
      </c>
      <c r="I67" s="19" t="str">
        <f>'[1]1º TRIMESTRE'!I67</f>
        <v>6-053/22</v>
      </c>
      <c r="J67" s="22">
        <f>'[1]1º TRIMESTRE'!J67</f>
        <v>44785</v>
      </c>
      <c r="K67" s="19">
        <f>'[1]1º TRIMESTRE'!K67</f>
        <v>240</v>
      </c>
      <c r="L67" s="21">
        <f>'[1]1º TRIMESTRE'!L67</f>
        <v>661511.15</v>
      </c>
      <c r="M67" s="22">
        <f t="shared" si="0"/>
        <v>45115</v>
      </c>
      <c r="N67" s="19">
        <f>'[1]1º TRIMESTRE'!N67</f>
        <v>90</v>
      </c>
      <c r="O67" s="21">
        <f>'[1]1º TRIMESTRE'!O67</f>
        <v>0</v>
      </c>
      <c r="P67" s="21">
        <f>'[1]1º TRIMESTRE'!P67</f>
        <v>0</v>
      </c>
      <c r="Q67" s="19" t="str">
        <f>'[1]1º TRIMESTRE'!Q67</f>
        <v>4.4.90.39</v>
      </c>
      <c r="R67" s="21">
        <f>'[1]1º TRIMESTRE'!R67+384588.87</f>
        <v>575215.91</v>
      </c>
      <c r="S67" s="21">
        <v>519738.29</v>
      </c>
      <c r="T67" s="21">
        <f>'[1]1º TRIMESTRE'!T67+S67</f>
        <v>519738.29</v>
      </c>
      <c r="U67" s="21">
        <f>'[1]1º TRIMESTRE'!U67+S67</f>
        <v>575215.91</v>
      </c>
      <c r="V67" s="23" t="str">
        <f>'[1]1º TRIMESTRE'!V67</f>
        <v>andamento</v>
      </c>
      <c r="W67" s="24">
        <f t="shared" si="1"/>
        <v>0</v>
      </c>
      <c r="X67" s="24"/>
      <c r="Y67" s="24">
        <f t="shared" si="2"/>
        <v>0</v>
      </c>
      <c r="Z67" s="25" t="str">
        <f t="shared" si="3"/>
        <v>and</v>
      </c>
    </row>
    <row r="68" spans="1:26" ht="45">
      <c r="A68" s="18" t="str">
        <f>'[1]1º TRIMESTRE'!A68</f>
        <v>CONCORRÊNCIA Licitação: 007/2022</v>
      </c>
      <c r="B68" s="18" t="str">
        <f>'[1]1º TRIMESTRE'!B68</f>
        <v>CONTRATAÇÃO DE EMPRESA DE ENGENHARIA ESPECIALIZADA EM ILUMINAÇÃO PÚBLICA, PARA FORNECIMENTO E INSTALAÇÃO DE LUMINÁRIAS RGB COM TECNOLOGIA LED E REDE ELÉTRICA, PARA ILUMINAÇÃO CÊNICA DO PARQUE DAS ESCULTURAS DE BRENNAND</v>
      </c>
      <c r="C68" s="19">
        <f>'[1]1º TRIMESTRE'!C68</f>
        <v>0</v>
      </c>
      <c r="D68" s="20">
        <f>'[1]1º TRIMESTRE'!D68</f>
        <v>0</v>
      </c>
      <c r="E68" s="21">
        <f>'[1]1º TRIMESTRE'!E68</f>
        <v>0</v>
      </c>
      <c r="F68" s="21">
        <f>'[1]1º TRIMESTRE'!F68</f>
        <v>0</v>
      </c>
      <c r="G68" s="18" t="str">
        <f>'[1]1º TRIMESTRE'!G68</f>
        <v>41.116.138/0001-38</v>
      </c>
      <c r="H68" s="18" t="str">
        <f>'[1]1º TRIMESTRE'!H68</f>
        <v>REAL ENERGY LTDA</v>
      </c>
      <c r="I68" s="19" t="str">
        <f>'[1]1º TRIMESTRE'!I68</f>
        <v>6-054/22</v>
      </c>
      <c r="J68" s="22">
        <f>'[1]1º TRIMESTRE'!J68</f>
        <v>44799</v>
      </c>
      <c r="K68" s="19">
        <f>'[1]1º TRIMESTRE'!K68</f>
        <v>390</v>
      </c>
      <c r="L68" s="21">
        <f>'[1]1º TRIMESTRE'!L68</f>
        <v>1839293.99</v>
      </c>
      <c r="M68" s="22">
        <f t="shared" si="0"/>
        <v>45189</v>
      </c>
      <c r="N68" s="19">
        <f>'[1]1º TRIMESTRE'!N68</f>
        <v>0</v>
      </c>
      <c r="O68" s="21">
        <f>'[1]1º TRIMESTRE'!O68</f>
        <v>0</v>
      </c>
      <c r="P68" s="21">
        <f>'[1]1º TRIMESTRE'!P68</f>
        <v>0</v>
      </c>
      <c r="Q68" s="19" t="str">
        <f>'[1]1º TRIMESTRE'!Q68</f>
        <v>4.4.90.39</v>
      </c>
      <c r="R68" s="21">
        <f>'[1]1º TRIMESTRE'!R68+370264.31</f>
        <v>740811.67999999993</v>
      </c>
      <c r="S68" s="21">
        <v>370264.31</v>
      </c>
      <c r="T68" s="21">
        <f>'[1]1º TRIMESTRE'!T68+S68</f>
        <v>478309.52</v>
      </c>
      <c r="U68" s="21">
        <f>'[1]1º TRIMESTRE'!U68+S68</f>
        <v>740811.67999999993</v>
      </c>
      <c r="V68" s="23" t="str">
        <f>'[1]1º TRIMESTRE'!V68</f>
        <v>andamento</v>
      </c>
      <c r="W68" s="24">
        <f t="shared" si="1"/>
        <v>0</v>
      </c>
      <c r="X68" s="24"/>
      <c r="Y68" s="24">
        <f t="shared" si="2"/>
        <v>0</v>
      </c>
      <c r="Z68" s="25" t="str">
        <f t="shared" si="3"/>
        <v>and</v>
      </c>
    </row>
    <row r="69" spans="1:26" ht="22.5">
      <c r="A69" s="18" t="str">
        <f>'[1]1º TRIMESTRE'!A69</f>
        <v>CONCORRÊNCIA Licitação: 011/2021</v>
      </c>
      <c r="B69" s="18" t="str">
        <f>'[1]1º TRIMESTRE'!B69</f>
        <v>CONTRATAÇÃO DE SERVIÇOS DE APOIO TÉCNICO AO MONITORAMENTO DAS AÇÕES DE MANUTENÇÃO DO SISTEMA VIÁRIO DA CIDADE DO RECIFE</v>
      </c>
      <c r="C69" s="19">
        <f>'[1]1º TRIMESTRE'!C69</f>
        <v>0</v>
      </c>
      <c r="D69" s="20">
        <f>'[1]1º TRIMESTRE'!D69</f>
        <v>0</v>
      </c>
      <c r="E69" s="21">
        <f>'[1]1º TRIMESTRE'!E69</f>
        <v>0</v>
      </c>
      <c r="F69" s="21">
        <f>'[1]1º TRIMESTRE'!F69</f>
        <v>0</v>
      </c>
      <c r="G69" s="18" t="str">
        <f>'[1]1º TRIMESTRE'!G69</f>
        <v>41.075.755/0001-32</v>
      </c>
      <c r="H69" s="18" t="str">
        <f>'[1]1º TRIMESTRE'!H69</f>
        <v>NORCONSULT PROJETOS E CONSULTORIA LTDA</v>
      </c>
      <c r="I69" s="19" t="str">
        <f>'[1]1º TRIMESTRE'!I69</f>
        <v>6-055/21</v>
      </c>
      <c r="J69" s="22">
        <f>'[1]1º TRIMESTRE'!J69</f>
        <v>44531</v>
      </c>
      <c r="K69" s="19">
        <f>'[1]1º TRIMESTRE'!K69</f>
        <v>1155</v>
      </c>
      <c r="L69" s="21">
        <f>'[1]1º TRIMESTRE'!L69</f>
        <v>6729243.9000000004</v>
      </c>
      <c r="M69" s="22">
        <f t="shared" si="0"/>
        <v>45686</v>
      </c>
      <c r="N69" s="19">
        <f>'[1]1º TRIMESTRE'!N69</f>
        <v>0</v>
      </c>
      <c r="O69" s="21">
        <f>'[1]1º TRIMESTRE'!O69</f>
        <v>54430.78</v>
      </c>
      <c r="P69" s="21">
        <f>'[1]1º TRIMESTRE'!P69</f>
        <v>-1579310.0099999998</v>
      </c>
      <c r="Q69" s="19" t="str">
        <f>'[1]1º TRIMESTRE'!Q69</f>
        <v>3.3.90.39</v>
      </c>
      <c r="R69" s="21">
        <f>'[1]1º TRIMESTRE'!R69+244605.92</f>
        <v>1945193.5</v>
      </c>
      <c r="S69" s="21">
        <v>366908.88</v>
      </c>
      <c r="T69" s="21">
        <f>'[1]1º TRIMESTRE'!T69+S69</f>
        <v>620745.27</v>
      </c>
      <c r="U69" s="21">
        <f>'[1]1º TRIMESTRE'!U69+S69</f>
        <v>1945193.5</v>
      </c>
      <c r="V69" s="23" t="str">
        <f>'[1]1º TRIMESTRE'!V69</f>
        <v>andamento</v>
      </c>
      <c r="W69" s="24">
        <f t="shared" si="1"/>
        <v>0</v>
      </c>
      <c r="X69" s="24"/>
      <c r="Y69" s="24">
        <f t="shared" si="2"/>
        <v>0</v>
      </c>
      <c r="Z69" s="25" t="str">
        <f t="shared" si="3"/>
        <v>and</v>
      </c>
    </row>
    <row r="70" spans="1:26" ht="22.5">
      <c r="A70" s="18" t="str">
        <f>'[1]1º TRIMESTRE'!A70</f>
        <v>CONCORRÊNCIA Licitação: 010/2022</v>
      </c>
      <c r="B70" s="18" t="str">
        <f>'[1]1º TRIMESTRE'!B70</f>
        <v>ERVIÇOS DE IMPLANTAÇÃO DE DRENAGEM E PAVIMENTAÇÃO NA RUA TABELIÃO JOÃO ROMA, BAIRRO DA VÁRZEA CAXANGÁ</v>
      </c>
      <c r="C70" s="19" t="str">
        <f>'[1]1º TRIMESTRE'!C70</f>
        <v>40.00017-6</v>
      </c>
      <c r="D70" s="20" t="str">
        <f>'[1]1º TRIMESTRE'!D70</f>
        <v>BANCO DO BRASIL</v>
      </c>
      <c r="E70" s="21">
        <f>'[1]1º TRIMESTRE'!E70</f>
        <v>0</v>
      </c>
      <c r="F70" s="21">
        <f>'[1]1º TRIMESTRE'!F70</f>
        <v>0</v>
      </c>
      <c r="G70" s="18" t="str">
        <f>'[1]1º TRIMESTRE'!G70</f>
        <v>10.893.105/0001-70</v>
      </c>
      <c r="H70" s="18" t="str">
        <f>'[1]1º TRIMESTRE'!H70</f>
        <v>AGILIS CONSTRUTORA LTDA</v>
      </c>
      <c r="I70" s="19" t="str">
        <f>'[1]1º TRIMESTRE'!I70</f>
        <v>6-055/22</v>
      </c>
      <c r="J70" s="22">
        <f>'[1]1º TRIMESTRE'!J70</f>
        <v>44799</v>
      </c>
      <c r="K70" s="19">
        <f>'[1]1º TRIMESTRE'!K70</f>
        <v>240</v>
      </c>
      <c r="L70" s="21">
        <f>'[1]1º TRIMESTRE'!L70</f>
        <v>2137870.29</v>
      </c>
      <c r="M70" s="22">
        <f t="shared" si="0"/>
        <v>45160</v>
      </c>
      <c r="N70" s="19">
        <f>'[1]1º TRIMESTRE'!N70</f>
        <v>121</v>
      </c>
      <c r="O70" s="21">
        <f>'[1]1º TRIMESTRE'!O70+151538.03</f>
        <v>534224.63</v>
      </c>
      <c r="P70" s="21">
        <f>'[1]1º TRIMESTRE'!P70</f>
        <v>0</v>
      </c>
      <c r="Q70" s="19" t="str">
        <f>'[1]1º TRIMESTRE'!Q70</f>
        <v>4.4.90.39</v>
      </c>
      <c r="R70" s="21">
        <f>'[1]1º TRIMESTRE'!R70+361508.11</f>
        <v>2194469.39</v>
      </c>
      <c r="S70" s="21">
        <v>767131.18</v>
      </c>
      <c r="T70" s="21">
        <f>'[1]1º TRIMESTRE'!T70+S70</f>
        <v>767131.18</v>
      </c>
      <c r="U70" s="21">
        <f>'[1]1º TRIMESTRE'!U70+S70</f>
        <v>2194469.39</v>
      </c>
      <c r="V70" s="23" t="str">
        <f>'[1]1º TRIMESTRE'!V70</f>
        <v>andamento</v>
      </c>
      <c r="W70" s="24">
        <f t="shared" si="1"/>
        <v>0</v>
      </c>
      <c r="X70" s="24"/>
      <c r="Y70" s="24">
        <f t="shared" si="2"/>
        <v>0</v>
      </c>
      <c r="Z70" s="25" t="str">
        <f t="shared" si="3"/>
        <v>and</v>
      </c>
    </row>
    <row r="71" spans="1:26" ht="45">
      <c r="A71" s="18" t="str">
        <f>'[1]1º TRIMESTRE'!A71</f>
        <v>Pregão Eletrônico Licitação: 032/2021</v>
      </c>
      <c r="B71" s="18" t="str">
        <f>'[1]1º TRIMESTRE'!B71</f>
        <v>CONTRATAÇÃO DE EMPRESA ESPECIALIZADA NA PRESTAÇÃO DE SERVIÇOS CONTÍNUOS DE PAISAGISMO E CONSERVAÇÃO PREVENTIVA E CORRETIVA DE PARQUES, PRAÇAS, JARDINS E ÁREAS VERDES PÚBLICAS NA CIDADE DO RECIFE - LOTE 01</v>
      </c>
      <c r="C71" s="19">
        <f>'[1]1º TRIMESTRE'!C71</f>
        <v>0</v>
      </c>
      <c r="D71" s="20">
        <f>'[1]1º TRIMESTRE'!D71</f>
        <v>0</v>
      </c>
      <c r="E71" s="21">
        <f>'[1]1º TRIMESTRE'!E71</f>
        <v>0</v>
      </c>
      <c r="F71" s="21">
        <f>'[1]1º TRIMESTRE'!F71</f>
        <v>0</v>
      </c>
      <c r="G71" s="18" t="str">
        <f>'[1]1º TRIMESTRE'!G71</f>
        <v>08.963.533/0001-80</v>
      </c>
      <c r="H71" s="18" t="str">
        <f>'[1]1º TRIMESTRE'!H71</f>
        <v>FAR COMERCIO E SERVIÇOS PAISAGISTICOS LTDA</v>
      </c>
      <c r="I71" s="19" t="str">
        <f>'[1]1º TRIMESTRE'!I71</f>
        <v>6-056/21</v>
      </c>
      <c r="J71" s="22">
        <f>'[1]1º TRIMESTRE'!J71</f>
        <v>44531</v>
      </c>
      <c r="K71" s="19">
        <f>'[1]1º TRIMESTRE'!K71</f>
        <v>760</v>
      </c>
      <c r="L71" s="21">
        <f>'[1]1º TRIMESTRE'!L71</f>
        <v>3696587.52</v>
      </c>
      <c r="M71" s="22">
        <f t="shared" si="0"/>
        <v>45291</v>
      </c>
      <c r="N71" s="19">
        <f>'[1]1º TRIMESTRE'!N71</f>
        <v>0</v>
      </c>
      <c r="O71" s="21">
        <f>'[1]1º TRIMESTRE'!O71</f>
        <v>0</v>
      </c>
      <c r="P71" s="21">
        <f>'[1]1º TRIMESTRE'!P71+412692.72</f>
        <v>412692.72</v>
      </c>
      <c r="Q71" s="19" t="str">
        <f>'[1]1º TRIMESTRE'!Q71</f>
        <v>3.3.90.39</v>
      </c>
      <c r="R71" s="21">
        <f>'[1]1º TRIMESTRE'!R71+656957.21</f>
        <v>2920353.13</v>
      </c>
      <c r="S71" s="21">
        <v>496464.5</v>
      </c>
      <c r="T71" s="21">
        <f>'[1]1º TRIMESTRE'!T71+S71</f>
        <v>804513.46</v>
      </c>
      <c r="U71" s="21">
        <f>'[1]1º TRIMESTRE'!U71+S71</f>
        <v>2759860.42</v>
      </c>
      <c r="V71" s="23" t="str">
        <f>'[1]1º TRIMESTRE'!V71</f>
        <v>andamento</v>
      </c>
      <c r="W71" s="24">
        <f t="shared" si="1"/>
        <v>-160492.70999999996</v>
      </c>
      <c r="X71" s="24">
        <v>160492.70999999996</v>
      </c>
      <c r="Y71" s="24">
        <f t="shared" si="2"/>
        <v>0</v>
      </c>
      <c r="Z71" s="25" t="str">
        <f t="shared" si="3"/>
        <v>and</v>
      </c>
    </row>
    <row r="72" spans="1:26" ht="33.75">
      <c r="A72" s="18" t="str">
        <f>'[1]1º TRIMESTRE'!A72</f>
        <v>CONCORRÊNCIA Licitação: 014/2022</v>
      </c>
      <c r="B72" s="18" t="str">
        <f>'[1]1º TRIMESTRE'!B72</f>
        <v>SERVIÇOS DE MANUTENÇÃO DO SISTEMA DA MICRODRENAGEM DE ÁGUAS PLUVIAIS DAS RPA'S 4, 5 E 6 DA CIDADE DO RECIFE. LOTE I</v>
      </c>
      <c r="C72" s="19">
        <f>'[1]1º TRIMESTRE'!C72</f>
        <v>0</v>
      </c>
      <c r="D72" s="20">
        <f>'[1]1º TRIMESTRE'!D72</f>
        <v>0</v>
      </c>
      <c r="E72" s="21">
        <f>'[1]1º TRIMESTRE'!E72</f>
        <v>0</v>
      </c>
      <c r="F72" s="21">
        <f>'[1]1º TRIMESTRE'!F72</f>
        <v>0</v>
      </c>
      <c r="G72" s="18" t="str">
        <f>'[1]1º TRIMESTRE'!G72</f>
        <v>40.884.405/0001-54</v>
      </c>
      <c r="H72" s="18" t="str">
        <f>'[1]1º TRIMESTRE'!H72</f>
        <v>LOQUIPE LOCACAO DE EQUIPAMENTOS E MAO DE OBRA LTDA</v>
      </c>
      <c r="I72" s="19" t="str">
        <f>'[1]1º TRIMESTRE'!I72</f>
        <v>6-056/22</v>
      </c>
      <c r="J72" s="22">
        <f>'[1]1º TRIMESTRE'!J72</f>
        <v>44802</v>
      </c>
      <c r="K72" s="19">
        <f>'[1]1º TRIMESTRE'!K72</f>
        <v>1155</v>
      </c>
      <c r="L72" s="21">
        <f>'[1]1º TRIMESTRE'!L72</f>
        <v>34378587.229999997</v>
      </c>
      <c r="M72" s="22">
        <f t="shared" si="0"/>
        <v>45957</v>
      </c>
      <c r="N72" s="19">
        <f>'[1]1º TRIMESTRE'!N72</f>
        <v>0</v>
      </c>
      <c r="O72" s="21">
        <f>'[1]1º TRIMESTRE'!O72+3359879.65</f>
        <v>3625018.4</v>
      </c>
      <c r="P72" s="21">
        <f>'[1]1º TRIMESTRE'!P72</f>
        <v>0</v>
      </c>
      <c r="Q72" s="19" t="str">
        <f>'[1]1º TRIMESTRE'!Q72</f>
        <v>3.3.90.39</v>
      </c>
      <c r="R72" s="21">
        <f>'[1]1º TRIMESTRE'!R72+3067641.78</f>
        <v>8077913.2200000007</v>
      </c>
      <c r="S72" s="21">
        <v>2823194.56</v>
      </c>
      <c r="T72" s="21">
        <f>'[1]1º TRIMESTRE'!T72+S72</f>
        <v>4747293.08</v>
      </c>
      <c r="U72" s="21">
        <f>'[1]1º TRIMESTRE'!U72+S72</f>
        <v>7088319.2300000004</v>
      </c>
      <c r="V72" s="23" t="str">
        <f>'[1]1º TRIMESTRE'!V72</f>
        <v>andamento</v>
      </c>
      <c r="W72" s="24">
        <f t="shared" si="1"/>
        <v>-989593.99000000022</v>
      </c>
      <c r="X72" s="24">
        <v>468708.72</v>
      </c>
      <c r="Y72" s="24">
        <f t="shared" si="2"/>
        <v>-520885.27000000025</v>
      </c>
      <c r="Z72" s="25" t="str">
        <f t="shared" si="3"/>
        <v>and</v>
      </c>
    </row>
    <row r="73" spans="1:26" ht="45">
      <c r="A73" s="18" t="str">
        <f>'[1]1º TRIMESTRE'!A73</f>
        <v>Pregão Eletrônico Licitação: 032/2021</v>
      </c>
      <c r="B73" s="18" t="str">
        <f>'[1]1º TRIMESTRE'!B73</f>
        <v>CONTRATAÇÃO DE EMPRESA ESPECIALIZADA NA PRESTAÇÃO DE SERVIÇOS CONTÍNUOS DE PAISAGISMO E CONSERVAÇÃO PREVENTIVA E CORRETIVA DE PARQUES, PRAÇAS, JARDINS E ÁREAS VERDES PÚBLICOS NA CIDADE DO RECIFE - LOTE 02</v>
      </c>
      <c r="C73" s="19">
        <f>'[1]1º TRIMESTRE'!C73</f>
        <v>0</v>
      </c>
      <c r="D73" s="20">
        <f>'[1]1º TRIMESTRE'!D73</f>
        <v>0</v>
      </c>
      <c r="E73" s="21">
        <f>'[1]1º TRIMESTRE'!E73</f>
        <v>0</v>
      </c>
      <c r="F73" s="21">
        <f>'[1]1º TRIMESTRE'!F73</f>
        <v>0</v>
      </c>
      <c r="G73" s="18" t="str">
        <f>'[1]1º TRIMESTRE'!G73</f>
        <v>08.963.533/0001-80</v>
      </c>
      <c r="H73" s="18" t="str">
        <f>'[1]1º TRIMESTRE'!H73</f>
        <v>FAR COMERCIO E SERVIÇOS PAISAGISTICOS LTDA</v>
      </c>
      <c r="I73" s="19" t="str">
        <f>'[1]1º TRIMESTRE'!I73</f>
        <v>6-057/21</v>
      </c>
      <c r="J73" s="22">
        <f>'[1]1º TRIMESTRE'!J73</f>
        <v>44532</v>
      </c>
      <c r="K73" s="19">
        <f>'[1]1º TRIMESTRE'!K73</f>
        <v>760</v>
      </c>
      <c r="L73" s="21">
        <f>'[1]1º TRIMESTRE'!L73</f>
        <v>3380477.52</v>
      </c>
      <c r="M73" s="22">
        <f t="shared" ref="M73:M136" si="4">J73+K73+N73</f>
        <v>45292</v>
      </c>
      <c r="N73" s="19">
        <f>'[1]1º TRIMESTRE'!N73</f>
        <v>0</v>
      </c>
      <c r="O73" s="21">
        <f>'[1]1º TRIMESTRE'!O73</f>
        <v>255909.3</v>
      </c>
      <c r="P73" s="21">
        <f>'[1]1º TRIMESTRE'!P73</f>
        <v>0</v>
      </c>
      <c r="Q73" s="19" t="str">
        <f>'[1]1º TRIMESTRE'!Q73</f>
        <v>3.3.90.39</v>
      </c>
      <c r="R73" s="21">
        <f>'[1]1º TRIMESTRE'!R73+473741.55</f>
        <v>2688308.02</v>
      </c>
      <c r="S73" s="21">
        <v>473741.55</v>
      </c>
      <c r="T73" s="21">
        <f>'[1]1º TRIMESTRE'!T73+S73</f>
        <v>930422.48</v>
      </c>
      <c r="U73" s="21">
        <f>'[1]1º TRIMESTRE'!U73+S73</f>
        <v>2688308.02</v>
      </c>
      <c r="V73" s="23" t="str">
        <f>'[1]1º TRIMESTRE'!V73</f>
        <v>andamento</v>
      </c>
      <c r="W73" s="24">
        <f t="shared" ref="W73:W136" si="5">U73-R73</f>
        <v>0</v>
      </c>
      <c r="X73" s="24"/>
      <c r="Y73" s="24">
        <f t="shared" ref="Y73:Y136" si="6">X73+W73</f>
        <v>0</v>
      </c>
      <c r="Z73" s="25" t="str">
        <f t="shared" ref="Z73:Z136" si="7">IF(M73&gt;$Z$5,"and","enc")</f>
        <v>and</v>
      </c>
    </row>
    <row r="74" spans="1:26" ht="22.5">
      <c r="A74" s="18" t="str">
        <f>'[1]1º TRIMESTRE'!A74</f>
        <v>CONCORRÊNCIA Licitação: 014/2022</v>
      </c>
      <c r="B74" s="18" t="str">
        <f>'[1]1º TRIMESTRE'!B74</f>
        <v>SERVIÇOS DE MANUTENÇÃO DO SISTEMA DA MICRODRENAGEM DE ÁGUAS PLUVIAIS DAS RPA'S 4, 5 E 6 DA CIDADE DO RECIFE. LOTE II</v>
      </c>
      <c r="C74" s="19">
        <f>'[1]1º TRIMESTRE'!C74</f>
        <v>0</v>
      </c>
      <c r="D74" s="20">
        <f>'[1]1º TRIMESTRE'!D74</f>
        <v>0</v>
      </c>
      <c r="E74" s="21">
        <f>'[1]1º TRIMESTRE'!E74</f>
        <v>0</v>
      </c>
      <c r="F74" s="21">
        <f>'[1]1º TRIMESTRE'!F74</f>
        <v>0</v>
      </c>
      <c r="G74" s="18" t="str">
        <f>'[1]1º TRIMESTRE'!G74</f>
        <v>10.811.370/0001-62</v>
      </c>
      <c r="H74" s="18" t="str">
        <f>'[1]1º TRIMESTRE'!H74</f>
        <v>GUERRA CONSTRUCOES LTDA</v>
      </c>
      <c r="I74" s="19" t="str">
        <f>'[1]1º TRIMESTRE'!I74</f>
        <v>6-057/22</v>
      </c>
      <c r="J74" s="22">
        <f>'[1]1º TRIMESTRE'!J74</f>
        <v>44802</v>
      </c>
      <c r="K74" s="19">
        <f>'[1]1º TRIMESTRE'!K74</f>
        <v>1155</v>
      </c>
      <c r="L74" s="21">
        <f>'[1]1º TRIMESTRE'!L74</f>
        <v>35796096.350000001</v>
      </c>
      <c r="M74" s="22">
        <f t="shared" si="4"/>
        <v>45957</v>
      </c>
      <c r="N74" s="19">
        <f>'[1]1º TRIMESTRE'!N74</f>
        <v>0</v>
      </c>
      <c r="O74" s="21">
        <f>'[1]1º TRIMESTRE'!O74</f>
        <v>0</v>
      </c>
      <c r="P74" s="21">
        <f>'[1]1º TRIMESTRE'!P74</f>
        <v>0</v>
      </c>
      <c r="Q74" s="19" t="str">
        <f>'[1]1º TRIMESTRE'!Q74</f>
        <v>3.3.90.39</v>
      </c>
      <c r="R74" s="21">
        <f>'[1]1º TRIMESTRE'!R74+2217948.07</f>
        <v>8272465.8900000006</v>
      </c>
      <c r="S74" s="21">
        <f>2372600.99</f>
        <v>2372600.9900000002</v>
      </c>
      <c r="T74" s="21">
        <f>'[1]1º TRIMESTRE'!T74+S74</f>
        <v>4309241.16</v>
      </c>
      <c r="U74" s="21">
        <f>'[1]1º TRIMESTRE'!U74+S74</f>
        <v>8107006.4199999999</v>
      </c>
      <c r="V74" s="23" t="str">
        <f>'[1]1º TRIMESTRE'!V74</f>
        <v>andamento</v>
      </c>
      <c r="W74" s="24">
        <f t="shared" si="5"/>
        <v>-165459.47000000067</v>
      </c>
      <c r="X74" s="24">
        <v>165459.47</v>
      </c>
      <c r="Y74" s="24">
        <f t="shared" si="6"/>
        <v>-6.6938810050487518E-10</v>
      </c>
      <c r="Z74" s="25" t="str">
        <f t="shared" si="7"/>
        <v>and</v>
      </c>
    </row>
    <row r="75" spans="1:26" ht="56.25">
      <c r="A75" s="18" t="str">
        <f>'[1]1º TRIMESTRE'!A75</f>
        <v>CONCORRÊNCIA Licitação: 015/2021</v>
      </c>
      <c r="B75" s="18" t="str">
        <f>'[1]1º TRIMESTRE'!B75</f>
        <v>SERVIÇOS DE ENGENHARIA CONSULTIVA PARA APOIO TÉCNICO E GERENCIAL AO PROCESSO DE MONITORAMENTO DAS AÇÕES DE LIMPEZA URBANA E ATIVIDADES DE LOGÍSTICA DO TRANSPORTE DE RESÍDUOS DA CONSTRUÇÃO CIVIL DA CIDADE DO RECIFE, MEDIANTE SUPORTE A IMPLANTAÇÃO E OPERAÇÃO DE UMA CENTRAL DE CONTROLE OPERACIONAL</v>
      </c>
      <c r="C75" s="19">
        <f>'[1]1º TRIMESTRE'!C75</f>
        <v>0</v>
      </c>
      <c r="D75" s="20">
        <f>'[1]1º TRIMESTRE'!D75</f>
        <v>0</v>
      </c>
      <c r="E75" s="21">
        <f>'[1]1º TRIMESTRE'!E75</f>
        <v>0</v>
      </c>
      <c r="F75" s="21">
        <f>'[1]1º TRIMESTRE'!F75</f>
        <v>0</v>
      </c>
      <c r="G75" s="18" t="str">
        <f>'[1]1º TRIMESTRE'!G75</f>
        <v>12.285.441/0001-66</v>
      </c>
      <c r="H75" s="18" t="str">
        <f>'[1]1º TRIMESTRE'!H75</f>
        <v>TPF ENGENHARIA LTDA</v>
      </c>
      <c r="I75" s="19" t="str">
        <f>'[1]1º TRIMESTRE'!I75</f>
        <v>6-058/21</v>
      </c>
      <c r="J75" s="22">
        <f>'[1]1º TRIMESTRE'!J75</f>
        <v>44531</v>
      </c>
      <c r="K75" s="19">
        <f>'[1]1º TRIMESTRE'!K75</f>
        <v>1890</v>
      </c>
      <c r="L75" s="21">
        <f>'[1]1º TRIMESTRE'!L75</f>
        <v>39551349</v>
      </c>
      <c r="M75" s="22">
        <f t="shared" si="4"/>
        <v>46421</v>
      </c>
      <c r="N75" s="19">
        <f>'[1]1º TRIMESTRE'!N75</f>
        <v>0</v>
      </c>
      <c r="O75" s="21">
        <f>'[1]1º TRIMESTRE'!O75</f>
        <v>0</v>
      </c>
      <c r="P75" s="21">
        <f>'[1]1º TRIMESTRE'!P75</f>
        <v>2254425.6</v>
      </c>
      <c r="Q75" s="19" t="str">
        <f>'[1]1º TRIMESTRE'!Q75</f>
        <v>3.3.90.39</v>
      </c>
      <c r="R75" s="21">
        <f>'[1]1º TRIMESTRE'!R75+2090288.73</f>
        <v>11416341.939999999</v>
      </c>
      <c r="S75" s="21">
        <v>2824625.4</v>
      </c>
      <c r="T75" s="21">
        <f>'[1]1º TRIMESTRE'!T75+S75</f>
        <v>4143003.7</v>
      </c>
      <c r="U75" s="21">
        <f>'[1]1º TRIMESTRE'!U75+S75</f>
        <v>11416341.940000001</v>
      </c>
      <c r="V75" s="23" t="str">
        <f>'[1]1º TRIMESTRE'!V75</f>
        <v>andamento</v>
      </c>
      <c r="W75" s="24">
        <f t="shared" si="5"/>
        <v>0</v>
      </c>
      <c r="X75" s="24"/>
      <c r="Y75" s="24">
        <f t="shared" si="6"/>
        <v>0</v>
      </c>
      <c r="Z75" s="25" t="str">
        <f t="shared" si="7"/>
        <v>and</v>
      </c>
    </row>
    <row r="76" spans="1:26" ht="33.75">
      <c r="A76" s="18" t="str">
        <f>'[1]1º TRIMESTRE'!A76</f>
        <v>CONCORRÊNCIA Licitação: 013/2022</v>
      </c>
      <c r="B76" s="18" t="str">
        <f>'[1]1º TRIMESTRE'!B76</f>
        <v>REQUALIFICAÇÃO DE DRENAGEM E PAVIMENTAÇÃO DAS RUAS CASTRO ALVES, ENGENHEIRO LUIZ VAUTHIER, RUA DA CORAGEM, RUA PROFESSOR MIRANDA CURIÓ E RUA DONA JULIETA, LOCALIZADAS NO BAIRRO DA ENCRUZILHADA</v>
      </c>
      <c r="C76" s="19" t="s">
        <v>35</v>
      </c>
      <c r="D76" s="20" t="s">
        <v>36</v>
      </c>
      <c r="E76" s="21">
        <f>'[1]1º TRIMESTRE'!E76</f>
        <v>0</v>
      </c>
      <c r="F76" s="21">
        <f>'[1]1º TRIMESTRE'!F76</f>
        <v>0</v>
      </c>
      <c r="G76" s="18" t="str">
        <f>'[1]1º TRIMESTRE'!G76</f>
        <v>11.481.173/0001-95</v>
      </c>
      <c r="H76" s="18" t="str">
        <f>'[1]1º TRIMESTRE'!H76</f>
        <v>ETNA ENGENHARIA E TERRAPLANAGEM NACIONAL LTDA</v>
      </c>
      <c r="I76" s="19" t="str">
        <f>'[1]1º TRIMESTRE'!I76</f>
        <v>6-058/22</v>
      </c>
      <c r="J76" s="22">
        <f>'[1]1º TRIMESTRE'!J76</f>
        <v>44812</v>
      </c>
      <c r="K76" s="19">
        <f>'[1]1º TRIMESTRE'!K76</f>
        <v>270</v>
      </c>
      <c r="L76" s="21">
        <f>'[1]1º TRIMESTRE'!L76</f>
        <v>3825898.74</v>
      </c>
      <c r="M76" s="22">
        <f t="shared" si="4"/>
        <v>45202</v>
      </c>
      <c r="N76" s="19">
        <f>'[1]1º TRIMESTRE'!N76+120</f>
        <v>120</v>
      </c>
      <c r="O76" s="21">
        <f>'[1]1º TRIMESTRE'!O76</f>
        <v>0</v>
      </c>
      <c r="P76" s="21">
        <f>'[1]1º TRIMESTRE'!P76</f>
        <v>0</v>
      </c>
      <c r="Q76" s="19" t="str">
        <f>'[1]1º TRIMESTRE'!Q76</f>
        <v>4.4.90.39</v>
      </c>
      <c r="R76" s="21">
        <f>'[1]1º TRIMESTRE'!R76+609766.5</f>
        <v>1004586.3200000001</v>
      </c>
      <c r="S76" s="21">
        <v>513689.25</v>
      </c>
      <c r="T76" s="21">
        <f>'[1]1º TRIMESTRE'!T76+S76</f>
        <v>908509.07000000007</v>
      </c>
      <c r="U76" s="21">
        <f>'[1]1º TRIMESTRE'!U76+S76</f>
        <v>908509.07000000007</v>
      </c>
      <c r="V76" s="23" t="str">
        <f>'[1]1º TRIMESTRE'!V76</f>
        <v>andamento</v>
      </c>
      <c r="W76" s="24">
        <f t="shared" si="5"/>
        <v>-96077.25</v>
      </c>
      <c r="X76" s="24">
        <f>86625.36+9451.89</f>
        <v>96077.25</v>
      </c>
      <c r="Y76" s="24">
        <f t="shared" si="6"/>
        <v>0</v>
      </c>
      <c r="Z76" s="25" t="str">
        <f t="shared" si="7"/>
        <v>and</v>
      </c>
    </row>
    <row r="77" spans="1:26" ht="33.75">
      <c r="A77" s="18" t="str">
        <f>'[1]1º TRIMESTRE'!A77</f>
        <v>CONCORRÊNCIA Licitação: 012/2022</v>
      </c>
      <c r="B77" s="18" t="str">
        <f>'[1]1º TRIMESTRE'!B77</f>
        <v>REQUALIFICAÇÃO DA DRENAGEM E PAVIMENTAÇÃO DA RUA IMPERIAL E DA DRENAGEM DA AV. SUL, TRECHO COMPREENDIDO ENTRE A TRAVESSA DO GASPAR E AV. DANTAS BARRETO, BAIRRO DE SÃO JOSÉ</v>
      </c>
      <c r="C77" s="19" t="s">
        <v>35</v>
      </c>
      <c r="D77" s="20" t="s">
        <v>36</v>
      </c>
      <c r="E77" s="21">
        <f>'[1]1º TRIMESTRE'!E77</f>
        <v>0</v>
      </c>
      <c r="F77" s="21">
        <f>'[1]1º TRIMESTRE'!F77</f>
        <v>0</v>
      </c>
      <c r="G77" s="18" t="str">
        <f>'[1]1º TRIMESTRE'!G77</f>
        <v>11.481.173/0001-95</v>
      </c>
      <c r="H77" s="18" t="str">
        <f>'[1]1º TRIMESTRE'!H77</f>
        <v>ETNA ENGENHARIA E TERRAPLANAGEM NACIONAL LTDA</v>
      </c>
      <c r="I77" s="19" t="str">
        <f>'[1]1º TRIMESTRE'!I77</f>
        <v>6-059/22</v>
      </c>
      <c r="J77" s="22">
        <f>'[1]1º TRIMESTRE'!J77</f>
        <v>44803</v>
      </c>
      <c r="K77" s="19">
        <f>'[1]1º TRIMESTRE'!K77</f>
        <v>270</v>
      </c>
      <c r="L77" s="21">
        <f>'[1]1º TRIMESTRE'!L77</f>
        <v>8106707.0800000001</v>
      </c>
      <c r="M77" s="22">
        <f t="shared" si="4"/>
        <v>45223</v>
      </c>
      <c r="N77" s="19">
        <f>'[1]1º TRIMESTRE'!N77+150</f>
        <v>150</v>
      </c>
      <c r="O77" s="21">
        <f>'[1]1º TRIMESTRE'!O77+174232.6</f>
        <v>174232.6</v>
      </c>
      <c r="P77" s="21">
        <f>'[1]1º TRIMESTRE'!P77</f>
        <v>0</v>
      </c>
      <c r="Q77" s="19" t="str">
        <f>'[1]1º TRIMESTRE'!Q77</f>
        <v>4.4.90.39</v>
      </c>
      <c r="R77" s="21">
        <f>'[1]1º TRIMESTRE'!R77+718315.11</f>
        <v>1397181.24</v>
      </c>
      <c r="S77" s="21">
        <v>642267.68999999994</v>
      </c>
      <c r="T77" s="21">
        <f>'[1]1º TRIMESTRE'!T77+S77</f>
        <v>1178517.1000000001</v>
      </c>
      <c r="U77" s="21">
        <f>'[1]1º TRIMESTRE'!U77+S77</f>
        <v>1178517.1000000001</v>
      </c>
      <c r="V77" s="23" t="str">
        <f>'[1]1º TRIMESTRE'!V77</f>
        <v>andamento</v>
      </c>
      <c r="W77" s="24">
        <f t="shared" si="5"/>
        <v>-218664.1399999999</v>
      </c>
      <c r="X77" s="24">
        <v>218664.14</v>
      </c>
      <c r="Y77" s="24">
        <f t="shared" si="6"/>
        <v>0</v>
      </c>
      <c r="Z77" s="25" t="str">
        <f t="shared" si="7"/>
        <v>and</v>
      </c>
    </row>
    <row r="78" spans="1:26" ht="45">
      <c r="A78" s="18" t="str">
        <f>'[1]1º TRIMESTRE'!A78</f>
        <v>TOMADA DE PREÇOS Licitação: 007/2021</v>
      </c>
      <c r="B78" s="18" t="str">
        <f>'[1]1º TRIMESTRE'!B78</f>
        <v>CONTRATAÇÃO DE EMPRESA ESPECIALIZADA NO RAMO DE ENGENHARIA PARA EXECUÇÃO DOS SERVIÇOS DE IMPLANTAÇÃO DE PAVIMENTAÇÃO, DRENAGEM, ACESSIBILIDADE E SINALIZAÇÃO DAS RUAS BENJAMIN FONSECA - LOTE 1.  JOSÉ MOLITERNO - LOTE 2, SITUADAS NA CIDADE DO RECIFE</v>
      </c>
      <c r="C78" s="19" t="str">
        <f>'[1]1º TRIMESTRE'!C78</f>
        <v>884436/2019</v>
      </c>
      <c r="D78" s="20" t="str">
        <f>'[1]1º TRIMESTRE'!D78</f>
        <v>Emenda Parlamentar Federal</v>
      </c>
      <c r="E78" s="21">
        <f>'[1]1º TRIMESTRE'!E78</f>
        <v>355737</v>
      </c>
      <c r="F78" s="21">
        <f>'[1]1º TRIMESTRE'!F78</f>
        <v>2000</v>
      </c>
      <c r="G78" s="18" t="str">
        <f>'[1]1º TRIMESTRE'!G78</f>
        <v>05.625.079/0001-60</v>
      </c>
      <c r="H78" s="18" t="str">
        <f>'[1]1º TRIMESTRE'!H78</f>
        <v xml:space="preserve">CONSTRUTORA MARDIFI LTDA - EPP </v>
      </c>
      <c r="I78" s="19" t="str">
        <f>'[1]1º TRIMESTRE'!I78</f>
        <v>6-060/21</v>
      </c>
      <c r="J78" s="22">
        <f>'[1]1º TRIMESTRE'!J78</f>
        <v>44603</v>
      </c>
      <c r="K78" s="19">
        <f>'[1]1º TRIMESTRE'!K78</f>
        <v>150</v>
      </c>
      <c r="L78" s="21">
        <f>'[1]1º TRIMESTRE'!L78</f>
        <v>193107.81</v>
      </c>
      <c r="M78" s="22">
        <f t="shared" si="4"/>
        <v>45173</v>
      </c>
      <c r="N78" s="19">
        <f>'[1]1º TRIMESTRE'!N78+60+90</f>
        <v>420</v>
      </c>
      <c r="O78" s="21">
        <f>'[1]1º TRIMESTRE'!O78</f>
        <v>0</v>
      </c>
      <c r="P78" s="21">
        <f>'[1]1º TRIMESTRE'!P78</f>
        <v>0</v>
      </c>
      <c r="Q78" s="19" t="str">
        <f>'[1]1º TRIMESTRE'!Q78</f>
        <v>4.4.90.39</v>
      </c>
      <c r="R78" s="21">
        <f>'[1]1º TRIMESTRE'!R78</f>
        <v>189707.78</v>
      </c>
      <c r="S78" s="21"/>
      <c r="T78" s="21">
        <f>'[1]1º TRIMESTRE'!T78+S78</f>
        <v>0</v>
      </c>
      <c r="U78" s="21">
        <f>'[1]1º TRIMESTRE'!U78+S78</f>
        <v>0</v>
      </c>
      <c r="V78" s="23" t="str">
        <f>'[1]1º TRIMESTRE'!V78</f>
        <v>andamento</v>
      </c>
      <c r="W78" s="24">
        <f t="shared" si="5"/>
        <v>-189707.78</v>
      </c>
      <c r="X78" s="24"/>
      <c r="Y78" s="24">
        <f t="shared" si="6"/>
        <v>-189707.78</v>
      </c>
      <c r="Z78" s="25" t="str">
        <f t="shared" si="7"/>
        <v>and</v>
      </c>
    </row>
    <row r="79" spans="1:26" ht="33.75">
      <c r="A79" s="18" t="str">
        <f>'[1]1º TRIMESTRE'!A79</f>
        <v>CONCORRÊNCIA Licitação: 011/2022</v>
      </c>
      <c r="B79" s="18" t="str">
        <f>'[1]1º TRIMESTRE'!B79</f>
        <v>REQUALIFICAÇÃO DA DRENAGEM E PAVIMENTAÇÃO DA RUA DA CONCÓRDIA, TRECHO COMPREENDIDO ENTRE A RUA MUNIZ E RUA FREI CANECA, BAIRRO DE SÃO JOSÉ</v>
      </c>
      <c r="C79" s="19" t="s">
        <v>35</v>
      </c>
      <c r="D79" s="20" t="s">
        <v>36</v>
      </c>
      <c r="E79" s="21">
        <f>'[1]1º TRIMESTRE'!E79</f>
        <v>0</v>
      </c>
      <c r="F79" s="21">
        <f>'[1]1º TRIMESTRE'!F79</f>
        <v>0</v>
      </c>
      <c r="G79" s="18" t="str">
        <f>'[1]1º TRIMESTRE'!G79</f>
        <v>10.811.370/0001-62</v>
      </c>
      <c r="H79" s="18" t="str">
        <f>'[1]1º TRIMESTRE'!H79</f>
        <v>GUERRA CONSTRUCOES LTDA</v>
      </c>
      <c r="I79" s="19" t="str">
        <f>'[1]1º TRIMESTRE'!I79</f>
        <v>6-060/22</v>
      </c>
      <c r="J79" s="22">
        <f>'[1]1º TRIMESTRE'!J79</f>
        <v>44817</v>
      </c>
      <c r="K79" s="19">
        <f>'[1]1º TRIMESTRE'!K79</f>
        <v>240</v>
      </c>
      <c r="L79" s="21">
        <f>'[1]1º TRIMESTRE'!L79</f>
        <v>4111668.75</v>
      </c>
      <c r="M79" s="22">
        <f t="shared" si="4"/>
        <v>45177</v>
      </c>
      <c r="N79" s="19">
        <f>'[1]1º TRIMESTRE'!N79+120</f>
        <v>120</v>
      </c>
      <c r="O79" s="21">
        <f>'[1]1º TRIMESTRE'!O79+127020.52</f>
        <v>127020.52</v>
      </c>
      <c r="P79" s="21">
        <f>'[1]1º TRIMESTRE'!P79</f>
        <v>0</v>
      </c>
      <c r="Q79" s="19" t="str">
        <f>'[1]1º TRIMESTRE'!Q79</f>
        <v>4.4.90.39</v>
      </c>
      <c r="R79" s="21">
        <f>'[1]1º TRIMESTRE'!R79+1112716.32</f>
        <v>2619073.79</v>
      </c>
      <c r="S79" s="21">
        <v>800534.91</v>
      </c>
      <c r="T79" s="21">
        <f>'[1]1º TRIMESTRE'!T79+S79</f>
        <v>1834150.76</v>
      </c>
      <c r="U79" s="21">
        <f>'[1]1º TRIMESTRE'!U79+S79</f>
        <v>1834150.76</v>
      </c>
      <c r="V79" s="23" t="str">
        <f>'[1]1º TRIMESTRE'!V79</f>
        <v>andamento</v>
      </c>
      <c r="W79" s="24">
        <f t="shared" si="5"/>
        <v>-784923.03</v>
      </c>
      <c r="X79" s="24">
        <v>784923.03</v>
      </c>
      <c r="Y79" s="24">
        <f t="shared" si="6"/>
        <v>0</v>
      </c>
      <c r="Z79" s="25" t="str">
        <f t="shared" si="7"/>
        <v>and</v>
      </c>
    </row>
    <row r="80" spans="1:26" ht="45">
      <c r="A80" s="18" t="str">
        <f>'[1]1º TRIMESTRE'!A80</f>
        <v>TOMADA DE PREÇOS Licitação: 007/2021</v>
      </c>
      <c r="B80" s="18" t="str">
        <f>'[1]1º TRIMESTRE'!B80</f>
        <v>CONTRATAÇÃO DE EMPRESA ESPECIALIZADA NO RAMO DE ENGENHARIA PARA EXECUÇÃO DOS SERVIÇOS DE IMPLANTAÇÃO DE PAVIMENTAÇÃO, DRENAGEM, ACESSIBILIDADE E SINALIZAÇÃO DAS RUAS BENJAMIN FONSECA - LOTE 1.  JOSÉ MOLITERNO - LOTE 2, SITUADAS NA CIDADE DO RECIFE</v>
      </c>
      <c r="C80" s="19" t="str">
        <f>'[1]1º TRIMESTRE'!C80</f>
        <v>884436/2019</v>
      </c>
      <c r="D80" s="20" t="str">
        <f>'[1]1º TRIMESTRE'!D80</f>
        <v>Emenda Parlamentar Federal</v>
      </c>
      <c r="E80" s="21">
        <f>'[1]1º TRIMESTRE'!E80</f>
        <v>355737</v>
      </c>
      <c r="F80" s="21">
        <f>'[1]1º TRIMESTRE'!F80</f>
        <v>2000</v>
      </c>
      <c r="G80" s="18" t="str">
        <f>'[1]1º TRIMESTRE'!G80</f>
        <v>05.625.079/0001-60</v>
      </c>
      <c r="H80" s="18" t="str">
        <f>'[1]1º TRIMESTRE'!H80</f>
        <v xml:space="preserve">CONSTRUTORA MARDIFI LTDA - EPP </v>
      </c>
      <c r="I80" s="19" t="str">
        <f>'[1]1º TRIMESTRE'!I80</f>
        <v>6-061/21</v>
      </c>
      <c r="J80" s="22">
        <f>'[1]1º TRIMESTRE'!J80</f>
        <v>44603</v>
      </c>
      <c r="K80" s="19">
        <f>'[1]1º TRIMESTRE'!K80</f>
        <v>150</v>
      </c>
      <c r="L80" s="21">
        <f>'[1]1º TRIMESTRE'!L80</f>
        <v>119800.38</v>
      </c>
      <c r="M80" s="22">
        <f t="shared" si="4"/>
        <v>45173</v>
      </c>
      <c r="N80" s="19">
        <f>'[1]1º TRIMESTRE'!N80+60</f>
        <v>420</v>
      </c>
      <c r="O80" s="21">
        <f>'[1]1º TRIMESTRE'!O80</f>
        <v>0</v>
      </c>
      <c r="P80" s="21">
        <f>'[1]1º TRIMESTRE'!P80</f>
        <v>-48.25</v>
      </c>
      <c r="Q80" s="19" t="str">
        <f>'[1]1º TRIMESTRE'!Q80</f>
        <v>4.4.90.39</v>
      </c>
      <c r="R80" s="21">
        <f>'[1]1º TRIMESTRE'!R80</f>
        <v>5813.89</v>
      </c>
      <c r="S80" s="21"/>
      <c r="T80" s="21">
        <f>'[1]1º TRIMESTRE'!T80+S80</f>
        <v>0</v>
      </c>
      <c r="U80" s="21">
        <f>'[1]1º TRIMESTRE'!U80+S80</f>
        <v>0</v>
      </c>
      <c r="V80" s="23" t="str">
        <f>'[1]1º TRIMESTRE'!V80</f>
        <v>andamento</v>
      </c>
      <c r="W80" s="24">
        <f t="shared" si="5"/>
        <v>-5813.89</v>
      </c>
      <c r="X80" s="24"/>
      <c r="Y80" s="24">
        <f t="shared" si="6"/>
        <v>-5813.89</v>
      </c>
      <c r="Z80" s="25" t="str">
        <f t="shared" si="7"/>
        <v>and</v>
      </c>
    </row>
    <row r="81" spans="1:26" ht="56.25">
      <c r="A81" s="18" t="str">
        <f>'[1]1º TRIMESTRE'!A81</f>
        <v>CREDENCIAMENTO Licitação: 001/2022</v>
      </c>
      <c r="B81" s="18" t="str">
        <f>'[1]1º TRIMESTRE'!B81</f>
        <v>CREDENCIAMENTO DE EMPRESA ESPECIALIZADA EM ENGENHARIA SANITÁRIA PARA EXECUTAR OS SERVIÇOS DE RECOLHIMENTO, TRANSPORTE, TRATAMENTO E DISPOSIÇÃO FINAL AMBIENTALMENTE CORRETA DE RESÍDUO LÍQUIDO LIXIVIADO ORIUNDO DO ATERRO DESATIVADO DA MURIBECA SOB A RESPONSABILIDADE DESTA AUTARQUIA</v>
      </c>
      <c r="C81" s="19">
        <f>'[1]1º TRIMESTRE'!C81</f>
        <v>0</v>
      </c>
      <c r="D81" s="20">
        <f>'[1]1º TRIMESTRE'!D81</f>
        <v>0</v>
      </c>
      <c r="E81" s="21">
        <f>'[1]1º TRIMESTRE'!E81</f>
        <v>0</v>
      </c>
      <c r="F81" s="21">
        <f>'[1]1º TRIMESTRE'!F81</f>
        <v>0</v>
      </c>
      <c r="G81" s="18" t="str">
        <f>'[1]1º TRIMESTRE'!G81</f>
        <v>03.279.285/0027-79</v>
      </c>
      <c r="H81" s="18" t="str">
        <f>'[1]1º TRIMESTRE'!H81</f>
        <v>ORIZON MEIO AMBIENTE S.A.</v>
      </c>
      <c r="I81" s="19" t="str">
        <f>'[1]1º TRIMESTRE'!I81</f>
        <v>6-061/22</v>
      </c>
      <c r="J81" s="22">
        <f>'[1]1º TRIMESTRE'!J81</f>
        <v>44823</v>
      </c>
      <c r="K81" s="19">
        <f>'[1]1º TRIMESTRE'!K81</f>
        <v>365</v>
      </c>
      <c r="L81" s="21">
        <f>'[1]1º TRIMESTRE'!L81</f>
        <v>2031400</v>
      </c>
      <c r="M81" s="22">
        <f t="shared" si="4"/>
        <v>45188</v>
      </c>
      <c r="N81" s="19">
        <f>'[1]1º TRIMESTRE'!N81</f>
        <v>0</v>
      </c>
      <c r="O81" s="21">
        <f>'[1]1º TRIMESTRE'!O81</f>
        <v>0</v>
      </c>
      <c r="P81" s="21">
        <f>'[1]1º TRIMESTRE'!P81</f>
        <v>0</v>
      </c>
      <c r="Q81" s="19" t="str">
        <f>'[1]1º TRIMESTRE'!Q81</f>
        <v>3.3.90.39</v>
      </c>
      <c r="R81" s="21">
        <f>'[1]1º TRIMESTRE'!R81+1477455.79</f>
        <v>2031389.55</v>
      </c>
      <c r="S81" s="21">
        <v>1025150.07</v>
      </c>
      <c r="T81" s="21">
        <f>'[1]1º TRIMESTRE'!T81+S81</f>
        <v>1266132.1499999999</v>
      </c>
      <c r="U81" s="21">
        <f>'[1]1º TRIMESTRE'!U81+S81</f>
        <v>1579083.83</v>
      </c>
      <c r="V81" s="23" t="str">
        <f>'[1]1º TRIMESTRE'!V81</f>
        <v>andamento</v>
      </c>
      <c r="W81" s="24">
        <f t="shared" si="5"/>
        <v>-452305.72</v>
      </c>
      <c r="X81" s="24">
        <v>452305.72</v>
      </c>
      <c r="Y81" s="24">
        <f t="shared" si="6"/>
        <v>0</v>
      </c>
      <c r="Z81" s="25" t="str">
        <f t="shared" si="7"/>
        <v>and</v>
      </c>
    </row>
    <row r="82" spans="1:26" ht="33.75">
      <c r="A82" s="18" t="str">
        <f>'[1]1º TRIMESTRE'!A82</f>
        <v>TOMADA DE PREÇOS Licitação: 008/2021</v>
      </c>
      <c r="B82" s="18" t="str">
        <f>'[1]1º TRIMESTRE'!B82</f>
        <v>SERVIÇOS DE IMPLANTAÇÃO DE PAVIMENTAÇÃO, DRENAGEM, ACESSIBILIDADE E SINALIZAÇÃO DA RUA FRANCISCO VITA TRECHO, ENTRE A AV. CAXANGA E A RUA ALAIDE LOCALIZADA NO BAIRRO DO CORDEIRO NA CIDADE DO RECIFE PE</v>
      </c>
      <c r="C82" s="19">
        <f>'[1]1º TRIMESTRE'!C82</f>
        <v>0</v>
      </c>
      <c r="D82" s="20">
        <f>'[1]1º TRIMESTRE'!D82</f>
        <v>0</v>
      </c>
      <c r="E82" s="21">
        <f>'[1]1º TRIMESTRE'!E82</f>
        <v>0</v>
      </c>
      <c r="F82" s="21">
        <f>'[1]1º TRIMESTRE'!F82</f>
        <v>0</v>
      </c>
      <c r="G82" s="18" t="str">
        <f>'[1]1º TRIMESTRE'!G82</f>
        <v>11.481.173/0001-95</v>
      </c>
      <c r="H82" s="18" t="str">
        <f>'[1]1º TRIMESTRE'!H82</f>
        <v>ETNA ENGENHARIA E TERRAPLANAGEM NACIONAL LTDA</v>
      </c>
      <c r="I82" s="19" t="str">
        <f>'[1]1º TRIMESTRE'!I82</f>
        <v>6-062/21</v>
      </c>
      <c r="J82" s="22">
        <f>'[1]1º TRIMESTRE'!J82</f>
        <v>44607</v>
      </c>
      <c r="K82" s="19">
        <f>'[1]1º TRIMESTRE'!K82</f>
        <v>180</v>
      </c>
      <c r="L82" s="21">
        <f>'[1]1º TRIMESTRE'!L82</f>
        <v>836036.43</v>
      </c>
      <c r="M82" s="22">
        <f t="shared" si="4"/>
        <v>45207</v>
      </c>
      <c r="N82" s="19">
        <f>'[1]1º TRIMESTRE'!N82+90</f>
        <v>420</v>
      </c>
      <c r="O82" s="21">
        <f>'[1]1º TRIMESTRE'!O82</f>
        <v>0</v>
      </c>
      <c r="P82" s="21">
        <f>'[1]1º TRIMESTRE'!P82</f>
        <v>79181.8</v>
      </c>
      <c r="Q82" s="19" t="str">
        <f>'[1]1º TRIMESTRE'!Q82</f>
        <v>4.4.90.39</v>
      </c>
      <c r="R82" s="21">
        <f>'[1]1º TRIMESTRE'!R82</f>
        <v>368839.91</v>
      </c>
      <c r="S82" s="21">
        <v>148356.38</v>
      </c>
      <c r="T82" s="21">
        <f>'[1]1º TRIMESTRE'!T82+S82</f>
        <v>148356.38</v>
      </c>
      <c r="U82" s="21">
        <f>'[1]1º TRIMESTRE'!U82+S82</f>
        <v>368839.91000000003</v>
      </c>
      <c r="V82" s="23" t="str">
        <f>'[1]1º TRIMESTRE'!V82</f>
        <v>andamento</v>
      </c>
      <c r="W82" s="24">
        <f t="shared" si="5"/>
        <v>0</v>
      </c>
      <c r="X82" s="24"/>
      <c r="Y82" s="24">
        <f t="shared" si="6"/>
        <v>0</v>
      </c>
      <c r="Z82" s="25" t="str">
        <f t="shared" si="7"/>
        <v>and</v>
      </c>
    </row>
    <row r="83" spans="1:26" ht="33.75">
      <c r="A83" s="18" t="str">
        <f>'[1]1º TRIMESTRE'!A83</f>
        <v>TOMADA DE PREÇOS Licitação: 004/2022</v>
      </c>
      <c r="B83" s="18" t="str">
        <f>'[1]1º TRIMESTRE'!B83</f>
        <v>CONTRATAÇÃO DE EMPRESA ESPECIALIZADA NO RAMO DE ENGENHARIA PARA EXECUÇÃO DOS SERVIÇOS DE IMPLEMENTAÇÃO DE PRAÇA PARA A INFÂNCIA NA PRAÇA DOM MIGUEL VALVERDE, ENCRUZILHADA - RECIFE/PE</v>
      </c>
      <c r="C83" s="19">
        <f>'[1]1º TRIMESTRE'!C83</f>
        <v>0</v>
      </c>
      <c r="D83" s="20">
        <f>'[1]1º TRIMESTRE'!D83</f>
        <v>0</v>
      </c>
      <c r="E83" s="21">
        <f>'[1]1º TRIMESTRE'!E83</f>
        <v>0</v>
      </c>
      <c r="F83" s="21">
        <f>'[1]1º TRIMESTRE'!F83</f>
        <v>0</v>
      </c>
      <c r="G83" s="18" t="str">
        <f>'[1]1º TRIMESTRE'!G83</f>
        <v>08.135.535/0001-81</v>
      </c>
      <c r="H83" s="18" t="str">
        <f>'[1]1º TRIMESTRE'!H83</f>
        <v>CONSTRUTORA FJ LTDA</v>
      </c>
      <c r="I83" s="19" t="str">
        <f>'[1]1º TRIMESTRE'!I83</f>
        <v>6-062/22</v>
      </c>
      <c r="J83" s="22">
        <f>'[1]1º TRIMESTRE'!J83</f>
        <v>44840</v>
      </c>
      <c r="K83" s="19">
        <f>'[1]1º TRIMESTRE'!K83</f>
        <v>150</v>
      </c>
      <c r="L83" s="21">
        <f>'[1]1º TRIMESTRE'!L83</f>
        <v>1597706.7</v>
      </c>
      <c r="M83" s="22">
        <f t="shared" si="4"/>
        <v>45079</v>
      </c>
      <c r="N83" s="19">
        <f>'[1]1º TRIMESTRE'!N83</f>
        <v>89</v>
      </c>
      <c r="O83" s="21">
        <f>'[1]1º TRIMESTRE'!O83</f>
        <v>396630.8</v>
      </c>
      <c r="P83" s="21">
        <f>'[1]1º TRIMESTRE'!P83</f>
        <v>0</v>
      </c>
      <c r="Q83" s="19" t="str">
        <f>'[1]1º TRIMESTRE'!Q83</f>
        <v>4.4.90.39</v>
      </c>
      <c r="R83" s="21">
        <f>'[1]1º TRIMESTRE'!R83+326309.08</f>
        <v>1849697.33</v>
      </c>
      <c r="S83" s="21">
        <v>326309.08</v>
      </c>
      <c r="T83" s="21">
        <f>'[1]1º TRIMESTRE'!T83+S83</f>
        <v>1361964.05</v>
      </c>
      <c r="U83" s="21">
        <f>'[1]1º TRIMESTRE'!U83+S83</f>
        <v>1849697.33</v>
      </c>
      <c r="V83" s="23" t="str">
        <f>'[1]1º TRIMESTRE'!V83</f>
        <v>andamento</v>
      </c>
      <c r="W83" s="24">
        <f t="shared" si="5"/>
        <v>0</v>
      </c>
      <c r="X83" s="24"/>
      <c r="Y83" s="24">
        <f t="shared" si="6"/>
        <v>0</v>
      </c>
      <c r="Z83" s="25" t="str">
        <f t="shared" si="7"/>
        <v>enc</v>
      </c>
    </row>
    <row r="84" spans="1:26" ht="33.75">
      <c r="A84" s="18" t="str">
        <f>'[1]1º TRIMESTRE'!A84</f>
        <v>CONCORRÊNCIA Licitação: 016/2021</v>
      </c>
      <c r="B84" s="18" t="str">
        <f>'[1]1º TRIMESTRE'!B84</f>
        <v>SERVIÇOS DE RECUPERAÇÃO ESTRUTURAL DA PONTE RODOVIÁRIA, DENOMINADA ANTIGA PONTE GIRATÓRIA, QUE LIGA O BAIRRO DE SÃO JOSÉ AO BAIRRO DO RECIFE NA CIDADE DO RECIFE - PE</v>
      </c>
      <c r="C84" s="19" t="s">
        <v>35</v>
      </c>
      <c r="D84" s="20" t="s">
        <v>36</v>
      </c>
      <c r="E84" s="21">
        <f>'[1]1º TRIMESTRE'!E84</f>
        <v>0</v>
      </c>
      <c r="F84" s="21">
        <f>'[1]1º TRIMESTRE'!F84</f>
        <v>0</v>
      </c>
      <c r="G84" s="18" t="str">
        <f>'[1]1º TRIMESTRE'!G84</f>
        <v>00.507.949/0001-82</v>
      </c>
      <c r="H84" s="18" t="str">
        <f>'[1]1º TRIMESTRE'!H84</f>
        <v>JATOBETON ENGENHARIA LTDA</v>
      </c>
      <c r="I84" s="19" t="str">
        <f>'[1]1º TRIMESTRE'!I84</f>
        <v>6-063/21</v>
      </c>
      <c r="J84" s="22">
        <f>'[1]1º TRIMESTRE'!J84</f>
        <v>44615</v>
      </c>
      <c r="K84" s="19">
        <f>'[1]1º TRIMESTRE'!K84</f>
        <v>645</v>
      </c>
      <c r="L84" s="21">
        <f>'[1]1º TRIMESTRE'!L84</f>
        <v>9469419.6300000008</v>
      </c>
      <c r="M84" s="22">
        <f t="shared" si="4"/>
        <v>45330</v>
      </c>
      <c r="N84" s="19">
        <f>'[1]1º TRIMESTRE'!N84+70</f>
        <v>70</v>
      </c>
      <c r="O84" s="21">
        <f>'[1]1º TRIMESTRE'!O84-640162.29</f>
        <v>342582.82999999996</v>
      </c>
      <c r="P84" s="21">
        <f>'[1]1º TRIMESTRE'!P84</f>
        <v>-473152.28</v>
      </c>
      <c r="Q84" s="19" t="str">
        <f>'[1]1º TRIMESTRE'!Q84</f>
        <v>4.4.90.39</v>
      </c>
      <c r="R84" s="21">
        <f>'[1]1º TRIMESTRE'!R84+479086.28</f>
        <v>5442660.71</v>
      </c>
      <c r="S84" s="21">
        <v>479089.28</v>
      </c>
      <c r="T84" s="21">
        <f>'[1]1º TRIMESTRE'!T84+S84</f>
        <v>1526816.52</v>
      </c>
      <c r="U84" s="21">
        <f>'[1]1º TRIMESTRE'!U84+S84</f>
        <v>5442660.71</v>
      </c>
      <c r="V84" s="23" t="str">
        <f>'[1]1º TRIMESTRE'!V84</f>
        <v>andamento</v>
      </c>
      <c r="W84" s="24">
        <f t="shared" si="5"/>
        <v>0</v>
      </c>
      <c r="X84" s="24"/>
      <c r="Y84" s="24">
        <f t="shared" si="6"/>
        <v>0</v>
      </c>
      <c r="Z84" s="25" t="str">
        <f t="shared" si="7"/>
        <v>and</v>
      </c>
    </row>
    <row r="85" spans="1:26" ht="33.75">
      <c r="A85" s="18" t="str">
        <f>'[1]1º TRIMESTRE'!A85</f>
        <v>CONCORRÊNCIA / Nº 013/2021</v>
      </c>
      <c r="B85" s="18" t="str">
        <f>'[1]1º TRIMESTRE'!B85</f>
        <v>CONTRATAÇÃO DE EMPRESA DE PRODUÇÃO DE ARTES E ILUMINAÇÃO CÊNICA PARA EXECUÇÃO DOS SERVIÇOS DE VÍDEO MAPPING E PROJEÇÃO HOLOGRÁFICA EM CORTINA D`ÁGUA NO RIO CAPIBARIBE</v>
      </c>
      <c r="C85" s="19">
        <f>'[1]1º TRIMESTRE'!C85</f>
        <v>0</v>
      </c>
      <c r="D85" s="20">
        <f>'[1]1º TRIMESTRE'!D85</f>
        <v>0</v>
      </c>
      <c r="E85" s="21">
        <f>'[1]1º TRIMESTRE'!E85</f>
        <v>0</v>
      </c>
      <c r="F85" s="21">
        <f>'[1]1º TRIMESTRE'!F85</f>
        <v>0</v>
      </c>
      <c r="G85" s="18" t="str">
        <f>'[1]1º TRIMESTRE'!G85</f>
        <v>20.165.281/0001-40</v>
      </c>
      <c r="H85" s="18" t="str">
        <f>'[1]1º TRIMESTRE'!H85</f>
        <v>TNP PRODUCOES DE EVENTOS LTDA</v>
      </c>
      <c r="I85" s="19" t="str">
        <f>'[1]1º TRIMESTRE'!I85</f>
        <v>6-064/21</v>
      </c>
      <c r="J85" s="22">
        <f>'[1]1º TRIMESTRE'!J85</f>
        <v>44559</v>
      </c>
      <c r="K85" s="19">
        <f>'[1]1º TRIMESTRE'!K85</f>
        <v>760</v>
      </c>
      <c r="L85" s="21">
        <f>'[1]1º TRIMESTRE'!L85</f>
        <v>2227129.66</v>
      </c>
      <c r="M85" s="22">
        <f t="shared" si="4"/>
        <v>45319</v>
      </c>
      <c r="N85" s="19">
        <f>'[1]1º TRIMESTRE'!N85</f>
        <v>0</v>
      </c>
      <c r="O85" s="21">
        <f>'[1]1º TRIMESTRE'!O85</f>
        <v>237561.68</v>
      </c>
      <c r="P85" s="21">
        <f>'[1]1º TRIMESTRE'!P85</f>
        <v>0</v>
      </c>
      <c r="Q85" s="19" t="str">
        <f>'[1]1º TRIMESTRE'!Q85</f>
        <v>4.4.90.39</v>
      </c>
      <c r="R85" s="21">
        <f>'[1]1º TRIMESTRE'!R85+346099.94</f>
        <v>1983890.77</v>
      </c>
      <c r="S85" s="21">
        <v>244264.35</v>
      </c>
      <c r="T85" s="21">
        <f>'[1]1º TRIMESTRE'!T85+S85</f>
        <v>671922.64</v>
      </c>
      <c r="U85" s="21">
        <f>'[1]1º TRIMESTRE'!U85+S85</f>
        <v>1882055.1800000002</v>
      </c>
      <c r="V85" s="23" t="str">
        <f>'[1]1º TRIMESTRE'!V85</f>
        <v>andamento</v>
      </c>
      <c r="W85" s="24">
        <f t="shared" si="5"/>
        <v>-101835.58999999985</v>
      </c>
      <c r="X85" s="24"/>
      <c r="Y85" s="24">
        <f t="shared" si="6"/>
        <v>-101835.58999999985</v>
      </c>
      <c r="Z85" s="25" t="str">
        <f t="shared" si="7"/>
        <v>and</v>
      </c>
    </row>
    <row r="86" spans="1:26" ht="22.5">
      <c r="A86" s="18" t="str">
        <f>'[1]1º TRIMESTRE'!A86</f>
        <v>CONCORRÊNCIA Licitação: 001/2021</v>
      </c>
      <c r="B86" s="18" t="str">
        <f>'[1]1º TRIMESTRE'!B86</f>
        <v>CONTRATAÇÃO DE EMPRESA SANITÁRIA ESPECIALIZADA PARA A EXECUÇÃO DOS SERVIÇOS DE COLETA E LIMPEZA URBANA NO MUNICÍPIO DO RECIFE. LOTE 1</v>
      </c>
      <c r="C86" s="19">
        <f>'[1]1º TRIMESTRE'!C86</f>
        <v>0</v>
      </c>
      <c r="D86" s="20">
        <f>'[1]1º TRIMESTRE'!D86</f>
        <v>0</v>
      </c>
      <c r="E86" s="21">
        <f>'[1]1º TRIMESTRE'!E86</f>
        <v>0</v>
      </c>
      <c r="F86" s="21">
        <f>'[1]1º TRIMESTRE'!F86</f>
        <v>0</v>
      </c>
      <c r="G86" s="18" t="str">
        <f>'[1]1º TRIMESTRE'!G86</f>
        <v>45.791.369/0001-06</v>
      </c>
      <c r="H86" s="18" t="str">
        <f>'[1]1º TRIMESTRE'!H86</f>
        <v>Consórcio Recife Ambiental</v>
      </c>
      <c r="I86" s="19" t="str">
        <f>'[1]1º TRIMESTRE'!I86</f>
        <v>6-064/22</v>
      </c>
      <c r="J86" s="22">
        <f>'[1]1º TRIMESTRE'!J86</f>
        <v>44649</v>
      </c>
      <c r="K86" s="19">
        <f>'[1]1º TRIMESTRE'!K86</f>
        <v>1825</v>
      </c>
      <c r="L86" s="21">
        <f>'[1]1º TRIMESTRE'!L86</f>
        <v>330511059.97000003</v>
      </c>
      <c r="M86" s="22">
        <f t="shared" si="4"/>
        <v>46474</v>
      </c>
      <c r="N86" s="19">
        <f>'[1]1º TRIMESTRE'!N86</f>
        <v>0</v>
      </c>
      <c r="O86" s="21">
        <f>'[1]1º TRIMESTRE'!O86</f>
        <v>0</v>
      </c>
      <c r="P86" s="21">
        <f>'[1]1º TRIMESTRE'!P86+6495004.4</f>
        <v>30031040.25</v>
      </c>
      <c r="Q86" s="19" t="str">
        <f>'[1]1º TRIMESTRE'!Q86</f>
        <v>3.3.90.39</v>
      </c>
      <c r="R86" s="21">
        <f>'[1]1º TRIMESTRE'!R86+15574309.52</f>
        <v>40523567.060000002</v>
      </c>
      <c r="S86" s="21">
        <v>15574309.52</v>
      </c>
      <c r="T86" s="21">
        <f>'[1]1º TRIMESTRE'!T86+S86</f>
        <v>31186409.689999998</v>
      </c>
      <c r="U86" s="21">
        <f>'[1]1º TRIMESTRE'!U86+S86</f>
        <v>40523567.060000002</v>
      </c>
      <c r="V86" s="23" t="str">
        <f>'[1]1º TRIMESTRE'!V86</f>
        <v>andamento</v>
      </c>
      <c r="W86" s="24">
        <f t="shared" si="5"/>
        <v>0</v>
      </c>
      <c r="X86" s="24"/>
      <c r="Y86" s="24">
        <f t="shared" si="6"/>
        <v>0</v>
      </c>
      <c r="Z86" s="25" t="str">
        <f t="shared" si="7"/>
        <v>and</v>
      </c>
    </row>
    <row r="87" spans="1:26" ht="22.5">
      <c r="A87" s="18" t="str">
        <f>'[1]1º TRIMESTRE'!A87</f>
        <v>CONCORRÊNCIA Licitação: 001/2021</v>
      </c>
      <c r="B87" s="18" t="str">
        <f>'[1]1º TRIMESTRE'!B87</f>
        <v>CONTRATAÇÃO DE EMPRESA SANITÁRIA ESPECIALIZADA PARA A EXECUÇÃO DOS SERVIÇOS DE COLETA E LIMPEZA URBANA NO MUNICÍPIO DO RECIFE. LOTE 2</v>
      </c>
      <c r="C87" s="19">
        <f>'[1]1º TRIMESTRE'!C87</f>
        <v>0</v>
      </c>
      <c r="D87" s="20">
        <f>'[1]1º TRIMESTRE'!D87</f>
        <v>0</v>
      </c>
      <c r="E87" s="21">
        <f>'[1]1º TRIMESTRE'!E87</f>
        <v>0</v>
      </c>
      <c r="F87" s="21">
        <f>'[1]1º TRIMESTRE'!F87</f>
        <v>0</v>
      </c>
      <c r="G87" s="18" t="str">
        <f>'[1]1º TRIMESTRE'!G87</f>
        <v>45.791.369/0001-06</v>
      </c>
      <c r="H87" s="18" t="str">
        <f>'[1]1º TRIMESTRE'!H87</f>
        <v>Consórcio Recife Ambiental</v>
      </c>
      <c r="I87" s="19" t="str">
        <f>'[1]1º TRIMESTRE'!I87</f>
        <v>6-065/22</v>
      </c>
      <c r="J87" s="22">
        <f>'[1]1º TRIMESTRE'!J87</f>
        <v>44649</v>
      </c>
      <c r="K87" s="19">
        <f>'[1]1º TRIMESTRE'!K87</f>
        <v>1825</v>
      </c>
      <c r="L87" s="21">
        <f>'[1]1º TRIMESTRE'!L87</f>
        <v>775440867.03999996</v>
      </c>
      <c r="M87" s="22">
        <f t="shared" si="4"/>
        <v>46474</v>
      </c>
      <c r="N87" s="19">
        <f>'[1]1º TRIMESTRE'!N87</f>
        <v>0</v>
      </c>
      <c r="O87" s="21">
        <f>'[1]1º TRIMESTRE'!O87</f>
        <v>0</v>
      </c>
      <c r="P87" s="21">
        <f>'[1]1º TRIMESTRE'!P87+14621453.82</f>
        <v>69463379.25</v>
      </c>
      <c r="Q87" s="19" t="str">
        <f>'[1]1º TRIMESTRE'!Q87</f>
        <v>3.3.90.39</v>
      </c>
      <c r="R87" s="21">
        <f>'[1]1º TRIMESTRE'!R87+41294458.98</f>
        <v>105517892.36</v>
      </c>
      <c r="S87" s="21">
        <v>41720057.969999999</v>
      </c>
      <c r="T87" s="21">
        <f>'[1]1º TRIMESTRE'!T87+S87</f>
        <v>80706106.969999999</v>
      </c>
      <c r="U87" s="21">
        <f>'[1]1º TRIMESTRE'!U87+S87</f>
        <v>105517892.36</v>
      </c>
      <c r="V87" s="23" t="str">
        <f>'[1]1º TRIMESTRE'!V87</f>
        <v>andamento</v>
      </c>
      <c r="W87" s="24">
        <f t="shared" si="5"/>
        <v>0</v>
      </c>
      <c r="X87" s="24"/>
      <c r="Y87" s="24">
        <f t="shared" si="6"/>
        <v>0</v>
      </c>
      <c r="Z87" s="25" t="str">
        <f t="shared" si="7"/>
        <v>and</v>
      </c>
    </row>
    <row r="88" spans="1:26" ht="33.75">
      <c r="A88" s="18" t="str">
        <f>'[1]1º TRIMESTRE'!A88</f>
        <v>CONCORRÊNCIA Licitação: 018/2022</v>
      </c>
      <c r="B88" s="18" t="str">
        <f>'[1]1º TRIMESTRE'!B88</f>
        <v>CONTRATAÇÃO DE EMPRESA DE ENGENHARIA PARA PRESTAÇÃO DOS SERVIÇOS DE MANUTENÇÃO DO ENROCAMENTO DE PEDRAS DA PROTEÇÃO EXISTENTE NA ORLA DE BOA VIAGEM, RECIFE/PE</v>
      </c>
      <c r="C88" s="19">
        <f>'[1]1º TRIMESTRE'!C88</f>
        <v>0</v>
      </c>
      <c r="D88" s="20">
        <f>'[1]1º TRIMESTRE'!D88</f>
        <v>0</v>
      </c>
      <c r="E88" s="21">
        <f>'[1]1º TRIMESTRE'!E88</f>
        <v>0</v>
      </c>
      <c r="F88" s="21">
        <f>'[1]1º TRIMESTRE'!F88</f>
        <v>0</v>
      </c>
      <c r="G88" s="18" t="str">
        <f>'[1]1º TRIMESTRE'!G88</f>
        <v>70.086.111/0001-48</v>
      </c>
      <c r="H88" s="18" t="str">
        <f>'[1]1º TRIMESTRE'!H88</f>
        <v>COASTAL - CONSTRUÇÕES E SOLUÇÕES TÉCNICAS AMBIENTAIS EIRELI</v>
      </c>
      <c r="I88" s="19" t="str">
        <f>'[1]1º TRIMESTRE'!I88</f>
        <v>6-066/22</v>
      </c>
      <c r="J88" s="22">
        <f>'[1]1º TRIMESTRE'!J88</f>
        <v>44855</v>
      </c>
      <c r="K88" s="19">
        <f>'[1]1º TRIMESTRE'!K88</f>
        <v>820</v>
      </c>
      <c r="L88" s="21">
        <f>'[1]1º TRIMESTRE'!L88</f>
        <v>4513103.68</v>
      </c>
      <c r="M88" s="22">
        <f t="shared" si="4"/>
        <v>45675</v>
      </c>
      <c r="N88" s="19">
        <f>'[1]1º TRIMESTRE'!N88</f>
        <v>0</v>
      </c>
      <c r="O88" s="21">
        <f>'[1]1º TRIMESTRE'!O88</f>
        <v>0</v>
      </c>
      <c r="P88" s="21">
        <f>'[1]1º TRIMESTRE'!P88</f>
        <v>0</v>
      </c>
      <c r="Q88" s="19" t="str">
        <f>'[1]1º TRIMESTRE'!Q88</f>
        <v>3.3.90.39</v>
      </c>
      <c r="R88" s="21">
        <f>'[1]1º TRIMESTRE'!R88+534807.32</f>
        <v>1195814.1299999999</v>
      </c>
      <c r="S88" s="21">
        <v>540819.89</v>
      </c>
      <c r="T88" s="21">
        <f>'[1]1º TRIMESTRE'!T88+S88</f>
        <v>886458.08000000007</v>
      </c>
      <c r="U88" s="21">
        <f>'[1]1º TRIMESTRE'!U88+S88</f>
        <v>1014339.75</v>
      </c>
      <c r="V88" s="23" t="str">
        <f>'[1]1º TRIMESTRE'!V88</f>
        <v>andamento</v>
      </c>
      <c r="W88" s="24">
        <f t="shared" si="5"/>
        <v>-181474.37999999989</v>
      </c>
      <c r="X88" s="24">
        <v>181474.38</v>
      </c>
      <c r="Y88" s="24">
        <f t="shared" si="6"/>
        <v>0</v>
      </c>
      <c r="Z88" s="25" t="str">
        <f t="shared" si="7"/>
        <v>and</v>
      </c>
    </row>
    <row r="89" spans="1:26" ht="33.75">
      <c r="A89" s="18" t="str">
        <f>'[1]1º TRIMESTRE'!A89</f>
        <v>CONCORRÊNCIA Licitação: 019/2022</v>
      </c>
      <c r="B89" s="18" t="str">
        <f>'[1]1º TRIMESTRE'!B89</f>
        <v>SERVIÇOS DE MANUTENÇÃO PREVENTIVA (IMPLANTANÇÃO, REQUALIFICAÇÃO E/OU RECAPEAMENTO DE VIAS) EM CONCRETO BETUMINOSO USINADO À QUENTE - CBUQ DO SISTEMA VIÁRIO DA CIDADE DO RECIFE. LOTE I - RPA 01</v>
      </c>
      <c r="C89" s="19" t="str">
        <f>'[1]1º TRIMESTRE'!C89</f>
        <v>001/2022</v>
      </c>
      <c r="D89" s="20" t="str">
        <f>'[1]1º TRIMESTRE'!D89</f>
        <v>SEINFRA-PE</v>
      </c>
      <c r="E89" s="21">
        <f>'[1]1º TRIMESTRE'!E89</f>
        <v>45000000</v>
      </c>
      <c r="F89" s="21">
        <f>'[1]1º TRIMESTRE'!F89</f>
        <v>5000000</v>
      </c>
      <c r="G89" s="18" t="str">
        <f>'[1]1º TRIMESTRE'!G89</f>
        <v>40.882.060/0001-08</v>
      </c>
      <c r="H89" s="18" t="str">
        <f>'[1]1º TRIMESTRE'!H89</f>
        <v>LIDERMAC CONSTRUCOES E EQUIPAMENTOS LTDA</v>
      </c>
      <c r="I89" s="19" t="str">
        <f>'[1]1º TRIMESTRE'!I89</f>
        <v>6-069/22</v>
      </c>
      <c r="J89" s="22">
        <f>'[1]1º TRIMESTRE'!J89</f>
        <v>44861</v>
      </c>
      <c r="K89" s="19">
        <f>'[1]1º TRIMESTRE'!K89</f>
        <v>760</v>
      </c>
      <c r="L89" s="21">
        <f>'[1]1º TRIMESTRE'!L89</f>
        <v>35222846.310000002</v>
      </c>
      <c r="M89" s="22">
        <f t="shared" si="4"/>
        <v>45621</v>
      </c>
      <c r="N89" s="19">
        <f>'[1]1º TRIMESTRE'!N89</f>
        <v>0</v>
      </c>
      <c r="O89" s="21">
        <f>'[1]1º TRIMESTRE'!O89</f>
        <v>2847136.5</v>
      </c>
      <c r="P89" s="21">
        <f>'[1]1º TRIMESTRE'!P89</f>
        <v>0</v>
      </c>
      <c r="Q89" s="19" t="str">
        <f>'[1]1º TRIMESTRE'!Q89</f>
        <v>4.4.90.39</v>
      </c>
      <c r="R89" s="21">
        <f>'[1]1º TRIMESTRE'!R89+359968.61</f>
        <v>12788805.77</v>
      </c>
      <c r="S89" s="21">
        <f>5347937.99+10100</f>
        <v>5358037.99</v>
      </c>
      <c r="T89" s="21">
        <f>'[1]1º TRIMESTRE'!T89+S89</f>
        <v>8630563.3300000001</v>
      </c>
      <c r="U89" s="21">
        <f>'[1]1º TRIMESTRE'!U89+S89</f>
        <v>12616472.120000001</v>
      </c>
      <c r="V89" s="23" t="str">
        <f>'[1]1º TRIMESTRE'!V89</f>
        <v>andamento</v>
      </c>
      <c r="W89" s="24">
        <f t="shared" si="5"/>
        <v>-172333.64999999851</v>
      </c>
      <c r="X89" s="24"/>
      <c r="Y89" s="24">
        <f t="shared" si="6"/>
        <v>-172333.64999999851</v>
      </c>
      <c r="Z89" s="25" t="str">
        <f t="shared" si="7"/>
        <v>and</v>
      </c>
    </row>
    <row r="90" spans="1:26" ht="33.75">
      <c r="A90" s="18" t="str">
        <f>'[1]1º TRIMESTRE'!A90</f>
        <v>CONCORRÊNCIA Licitação: 019/2022</v>
      </c>
      <c r="B90" s="18" t="str">
        <f>'[1]1º TRIMESTRE'!B90</f>
        <v>SERVIÇOS DE MANUTENÇÃO PREVENTIVA (IMPLANTANÇÃO, REQUALIFICAÇÃO E/OU RECAPEAMENTO DE VIAS) EM CONCRETO BETUMINOSO USINADO À QUENTE - CBUQ DO SISTEMA VIÁRIO DA CIDADE DO RECIFE LOTE II - RPA 02 E 03.</v>
      </c>
      <c r="C90" s="19" t="str">
        <f>'[1]1º TRIMESTRE'!C90</f>
        <v>001/2022</v>
      </c>
      <c r="D90" s="20" t="str">
        <f>'[1]1º TRIMESTRE'!D90</f>
        <v>SEINFRA-PE</v>
      </c>
      <c r="E90" s="21">
        <f>'[1]1º TRIMESTRE'!E90</f>
        <v>45000000</v>
      </c>
      <c r="F90" s="21">
        <f>'[1]1º TRIMESTRE'!F90</f>
        <v>5000000</v>
      </c>
      <c r="G90" s="18" t="str">
        <f>'[1]1º TRIMESTRE'!G90</f>
        <v>00.999.591/0001-52</v>
      </c>
      <c r="H90" s="18" t="str">
        <f>'[1]1º TRIMESTRE'!H90</f>
        <v xml:space="preserve">AGC CONSTRUTORA E EMPREENDIMENTOS LTDA      </v>
      </c>
      <c r="I90" s="19" t="str">
        <f>'[1]1º TRIMESTRE'!I90</f>
        <v>6-070/22</v>
      </c>
      <c r="J90" s="22">
        <f>'[1]1º TRIMESTRE'!J90</f>
        <v>44861</v>
      </c>
      <c r="K90" s="19">
        <f>'[1]1º TRIMESTRE'!K90</f>
        <v>760</v>
      </c>
      <c r="L90" s="21">
        <f>'[1]1º TRIMESTRE'!L90</f>
        <v>37890417.210000001</v>
      </c>
      <c r="M90" s="22">
        <f t="shared" si="4"/>
        <v>45621</v>
      </c>
      <c r="N90" s="19">
        <f>'[1]1º TRIMESTRE'!N90</f>
        <v>0</v>
      </c>
      <c r="O90" s="21">
        <f>'[1]1º TRIMESTRE'!O90+321603.6</f>
        <v>321603.59999999998</v>
      </c>
      <c r="P90" s="21">
        <f>'[1]1º TRIMESTRE'!P90</f>
        <v>0</v>
      </c>
      <c r="Q90" s="19" t="str">
        <f>'[1]1º TRIMESTRE'!Q90</f>
        <v>4.4.90.39</v>
      </c>
      <c r="R90" s="21">
        <f>'[1]1º TRIMESTRE'!R90+65649.01</f>
        <v>14945196.02</v>
      </c>
      <c r="S90" s="21">
        <v>3761060.15</v>
      </c>
      <c r="T90" s="21">
        <f>'[1]1º TRIMESTRE'!T90+S90</f>
        <v>11605257.279999999</v>
      </c>
      <c r="U90" s="21">
        <f>'[1]1º TRIMESTRE'!U90+S90</f>
        <v>14358031.279999999</v>
      </c>
      <c r="V90" s="23" t="str">
        <f>'[1]1º TRIMESTRE'!V90</f>
        <v>andamento</v>
      </c>
      <c r="W90" s="24">
        <f t="shared" si="5"/>
        <v>-587164.74000000022</v>
      </c>
      <c r="X90" s="24"/>
      <c r="Y90" s="24">
        <f t="shared" si="6"/>
        <v>-587164.74000000022</v>
      </c>
      <c r="Z90" s="25" t="str">
        <f t="shared" si="7"/>
        <v>and</v>
      </c>
    </row>
    <row r="91" spans="1:26" ht="33.75">
      <c r="A91" s="18" t="str">
        <f>'[1]1º TRIMESTRE'!A91</f>
        <v>CONCORRÊNCIA Licitação: 019/2022</v>
      </c>
      <c r="B91" s="18" t="str">
        <f>'[1]1º TRIMESTRE'!B91</f>
        <v>SERVIÇOS DE MANUTENÇÃO PREVENTIVA (IMPLANTANÇÃO, REQUALIFICAÇÃO E/OU RECAPEAMENTO DE VIAS) EM CONCRETO BETUMINOSO USINADO À QUENTE - CBUQ DO SISTEMA VIÁRIO DA CIDADE DO RECIFE. LOTE III - RPA 04 E 05</v>
      </c>
      <c r="C91" s="19" t="str">
        <f>'[1]1º TRIMESTRE'!C91</f>
        <v>001/2022</v>
      </c>
      <c r="D91" s="20" t="str">
        <f>'[1]1º TRIMESTRE'!D91</f>
        <v>SEINFRA-PE</v>
      </c>
      <c r="E91" s="21">
        <f>'[1]1º TRIMESTRE'!E91</f>
        <v>45000000</v>
      </c>
      <c r="F91" s="21">
        <f>'[1]1º TRIMESTRE'!F91</f>
        <v>5000000</v>
      </c>
      <c r="G91" s="18" t="str">
        <f>'[1]1º TRIMESTRE'!G91</f>
        <v>23.742.620/0001-00</v>
      </c>
      <c r="H91" s="18" t="str">
        <f>'[1]1º TRIMESTRE'!H91</f>
        <v>INSTTALE ENGENHARIA LTDA</v>
      </c>
      <c r="I91" s="19" t="str">
        <f>'[1]1º TRIMESTRE'!I91</f>
        <v>6-071/22</v>
      </c>
      <c r="J91" s="22">
        <f>'[1]1º TRIMESTRE'!J91</f>
        <v>44861</v>
      </c>
      <c r="K91" s="19">
        <f>'[1]1º TRIMESTRE'!K91</f>
        <v>760</v>
      </c>
      <c r="L91" s="21">
        <f>'[1]1º TRIMESTRE'!L91</f>
        <v>52662087.729999997</v>
      </c>
      <c r="M91" s="22">
        <f t="shared" si="4"/>
        <v>45621</v>
      </c>
      <c r="N91" s="19">
        <f>'[1]1º TRIMESTRE'!N91</f>
        <v>0</v>
      </c>
      <c r="O91" s="21">
        <f>'[1]1º TRIMESTRE'!O91</f>
        <v>0</v>
      </c>
      <c r="P91" s="21">
        <f>'[1]1º TRIMESTRE'!P91</f>
        <v>0</v>
      </c>
      <c r="Q91" s="19" t="str">
        <f>'[1]1º TRIMESTRE'!Q91</f>
        <v>4.4.90.39</v>
      </c>
      <c r="R91" s="21">
        <f>'[1]1º TRIMESTRE'!R91+51013.33</f>
        <v>18074526.089999996</v>
      </c>
      <c r="S91" s="21">
        <v>10243970.300000001</v>
      </c>
      <c r="T91" s="21">
        <f>'[1]1º TRIMESTRE'!T91+S91</f>
        <v>12748349.91</v>
      </c>
      <c r="U91" s="21">
        <f>'[1]1º TRIMESTRE'!U91+S91</f>
        <v>18074526.289999999</v>
      </c>
      <c r="V91" s="23" t="str">
        <f>'[1]1º TRIMESTRE'!V91</f>
        <v>andamento</v>
      </c>
      <c r="W91" s="24">
        <f t="shared" si="5"/>
        <v>0.20000000298023224</v>
      </c>
      <c r="X91" s="24"/>
      <c r="Y91" s="24">
        <f t="shared" si="6"/>
        <v>0.20000000298023224</v>
      </c>
      <c r="Z91" s="25" t="str">
        <f t="shared" si="7"/>
        <v>and</v>
      </c>
    </row>
    <row r="92" spans="1:26" ht="33.75">
      <c r="A92" s="18" t="str">
        <f>'[1]1º TRIMESTRE'!A92</f>
        <v>CONCORRÊNCIA Licitação: 019/2022</v>
      </c>
      <c r="B92" s="18" t="str">
        <f>'[1]1º TRIMESTRE'!B92</f>
        <v>SERVIÇOS DE MANUTENÇÃO PREVENTIVA (IMPLANTANÇÃO, REQUALIFICAÇÃO E/OU RECAPEAMENTO DE VIAS) EM CONCRETO BETUMINOSO USINADO À QUENTE - CBUQ DO SISTEMA VIÁRIO DA CIDADE DO RECIFE. LOTE IV - RPA 06</v>
      </c>
      <c r="C92" s="19" t="str">
        <f>'[1]1º TRIMESTRE'!C92</f>
        <v>001/2022</v>
      </c>
      <c r="D92" s="20" t="str">
        <f>'[1]1º TRIMESTRE'!D92</f>
        <v>SEINFRA-PE</v>
      </c>
      <c r="E92" s="21">
        <f>'[1]1º TRIMESTRE'!E92</f>
        <v>45000000</v>
      </c>
      <c r="F92" s="21">
        <f>'[1]1º TRIMESTRE'!F92</f>
        <v>5000000</v>
      </c>
      <c r="G92" s="18" t="str">
        <f>'[1]1º TRIMESTRE'!G92</f>
        <v>40.882.060/0001-08</v>
      </c>
      <c r="H92" s="18" t="str">
        <f>'[1]1º TRIMESTRE'!H92</f>
        <v>LIDERMAC CONSTRUCOES E EQUIPAMENTOS LTDA</v>
      </c>
      <c r="I92" s="19" t="str">
        <f>'[1]1º TRIMESTRE'!I92</f>
        <v>6-072/22</v>
      </c>
      <c r="J92" s="22">
        <f>'[1]1º TRIMESTRE'!J92</f>
        <v>44861</v>
      </c>
      <c r="K92" s="19">
        <f>'[1]1º TRIMESTRE'!K92</f>
        <v>760</v>
      </c>
      <c r="L92" s="21">
        <f>'[1]1º TRIMESTRE'!L92</f>
        <v>51009419.109999999</v>
      </c>
      <c r="M92" s="22">
        <f t="shared" si="4"/>
        <v>45621</v>
      </c>
      <c r="N92" s="19">
        <f>'[1]1º TRIMESTRE'!N92</f>
        <v>0</v>
      </c>
      <c r="O92" s="21">
        <f>'[1]1º TRIMESTRE'!O92</f>
        <v>0</v>
      </c>
      <c r="P92" s="21">
        <f>'[1]1º TRIMESTRE'!P92</f>
        <v>0</v>
      </c>
      <c r="Q92" s="19" t="str">
        <f>'[1]1º TRIMESTRE'!Q92</f>
        <v>4.4.90.39</v>
      </c>
      <c r="R92" s="21">
        <f>'[1]1º TRIMESTRE'!R92+107549.45</f>
        <v>9340428.709999999</v>
      </c>
      <c r="S92" s="21">
        <v>4042728.25</v>
      </c>
      <c r="T92" s="21">
        <f>'[1]1º TRIMESTRE'!T92+S92</f>
        <v>6734278.6400000006</v>
      </c>
      <c r="U92" s="21">
        <f>'[1]1º TRIMESTRE'!U92+S92</f>
        <v>9340428.7100000009</v>
      </c>
      <c r="V92" s="23" t="str">
        <f>'[1]1º TRIMESTRE'!V92</f>
        <v>andamento</v>
      </c>
      <c r="W92" s="24">
        <f t="shared" si="5"/>
        <v>0</v>
      </c>
      <c r="X92" s="24"/>
      <c r="Y92" s="24">
        <f t="shared" si="6"/>
        <v>0</v>
      </c>
      <c r="Z92" s="25" t="str">
        <f t="shared" si="7"/>
        <v>and</v>
      </c>
    </row>
    <row r="93" spans="1:26" ht="33.75">
      <c r="A93" s="18" t="str">
        <f>'[1]1º TRIMESTRE'!A93</f>
        <v>CONCORRÊNCIA Licitação: 020/2022</v>
      </c>
      <c r="B93" s="18" t="str">
        <f>'[1]1º TRIMESTRE'!B93</f>
        <v>SERVIÇOS DE MANUTENÇÃO CORRETIVA DE VIAS NÃO PAVIMENTADAS DO SISTEMA VIÁRIO DA CIDADE DO RECIFE/PE</v>
      </c>
      <c r="C93" s="19">
        <f>'[1]1º TRIMESTRE'!C93</f>
        <v>0</v>
      </c>
      <c r="D93" s="20">
        <f>'[1]1º TRIMESTRE'!D93</f>
        <v>0</v>
      </c>
      <c r="E93" s="21">
        <f>'[1]1º TRIMESTRE'!E93</f>
        <v>0</v>
      </c>
      <c r="F93" s="21">
        <f>'[1]1º TRIMESTRE'!F93</f>
        <v>0</v>
      </c>
      <c r="G93" s="18" t="str">
        <f>'[1]1º TRIMESTRE'!G93</f>
        <v>40.884.405/0001-54</v>
      </c>
      <c r="H93" s="18" t="str">
        <f>'[1]1º TRIMESTRE'!H93</f>
        <v>LOQUIPE LOCACAO DE EQUIPAMENTOS E MAO DE OBRA LTDA</v>
      </c>
      <c r="I93" s="19" t="str">
        <f>'[1]1º TRIMESTRE'!I93</f>
        <v>6-073/22</v>
      </c>
      <c r="J93" s="22">
        <f>'[1]1º TRIMESTRE'!J93</f>
        <v>44869</v>
      </c>
      <c r="K93" s="19">
        <f>'[1]1º TRIMESTRE'!K93</f>
        <v>790</v>
      </c>
      <c r="L93" s="21">
        <f>'[1]1º TRIMESTRE'!L93</f>
        <v>3957846.15</v>
      </c>
      <c r="M93" s="22">
        <f t="shared" si="4"/>
        <v>45659</v>
      </c>
      <c r="N93" s="19">
        <f>'[1]1º TRIMESTRE'!N93</f>
        <v>0</v>
      </c>
      <c r="O93" s="21">
        <f>'[1]1º TRIMESTRE'!O93</f>
        <v>0</v>
      </c>
      <c r="P93" s="21">
        <f>'[1]1º TRIMESTRE'!P93</f>
        <v>0</v>
      </c>
      <c r="Q93" s="19" t="str">
        <f>'[1]1º TRIMESTRE'!Q93</f>
        <v>3.3.90.39</v>
      </c>
      <c r="R93" s="21">
        <f>'[1]1º TRIMESTRE'!R93+264659.53</f>
        <v>820691.4</v>
      </c>
      <c r="S93" s="21">
        <v>523087.62</v>
      </c>
      <c r="T93" s="21">
        <f>'[1]1º TRIMESTRE'!T93+S93</f>
        <v>820691.4</v>
      </c>
      <c r="U93" s="21">
        <f>'[1]1º TRIMESTRE'!U93+S93</f>
        <v>820691.4</v>
      </c>
      <c r="V93" s="23" t="str">
        <f>'[1]1º TRIMESTRE'!V93</f>
        <v>andamento</v>
      </c>
      <c r="W93" s="24">
        <f t="shared" si="5"/>
        <v>0</v>
      </c>
      <c r="X93" s="24"/>
      <c r="Y93" s="24">
        <f t="shared" si="6"/>
        <v>0</v>
      </c>
      <c r="Z93" s="25" t="str">
        <f t="shared" si="7"/>
        <v>and</v>
      </c>
    </row>
    <row r="94" spans="1:26" ht="22.5">
      <c r="A94" s="18" t="str">
        <f>'[1]1º TRIMESTRE'!A94</f>
        <v>TOMADA DE PREÇOS Licitação: 006/2022</v>
      </c>
      <c r="B94" s="18" t="str">
        <f>'[1]1º TRIMESTRE'!B94</f>
        <v>SERVIÇOS DE MANUTENÇÃO PREVENTIVA E CORRETIVA EM FONTES LUMINOSAS PÚBLICAS LOCALIZADAS NA CIDADE DO RECIFE</v>
      </c>
      <c r="C94" s="19">
        <f>'[1]1º TRIMESTRE'!C94</f>
        <v>0</v>
      </c>
      <c r="D94" s="20">
        <f>'[1]1º TRIMESTRE'!D94</f>
        <v>0</v>
      </c>
      <c r="E94" s="21">
        <f>'[1]1º TRIMESTRE'!E94</f>
        <v>0</v>
      </c>
      <c r="F94" s="21">
        <f>'[1]1º TRIMESTRE'!F94</f>
        <v>0</v>
      </c>
      <c r="G94" s="18" t="str">
        <f>'[1]1º TRIMESTRE'!G94</f>
        <v>06.157.352/0001-31</v>
      </c>
      <c r="H94" s="18" t="str">
        <f>'[1]1º TRIMESTRE'!H94</f>
        <v>ROBERTO &amp; JAIR COMÉRCIO E SERVIÇOS LTDA-ME</v>
      </c>
      <c r="I94" s="19" t="str">
        <f>'[1]1º TRIMESTRE'!I94</f>
        <v>6-074/22</v>
      </c>
      <c r="J94" s="22">
        <f>'[1]1º TRIMESTRE'!J94</f>
        <v>44896</v>
      </c>
      <c r="K94" s="19">
        <f>'[1]1º TRIMESTRE'!K94</f>
        <v>790</v>
      </c>
      <c r="L94" s="21">
        <f>'[1]1º TRIMESTRE'!L94</f>
        <v>1292921.04</v>
      </c>
      <c r="M94" s="22">
        <f t="shared" si="4"/>
        <v>45686</v>
      </c>
      <c r="N94" s="19">
        <f>'[1]1º TRIMESTRE'!N94</f>
        <v>0</v>
      </c>
      <c r="O94" s="21">
        <f>'[1]1º TRIMESTRE'!O94</f>
        <v>0</v>
      </c>
      <c r="P94" s="21">
        <f>'[1]1º TRIMESTRE'!P94</f>
        <v>0</v>
      </c>
      <c r="Q94" s="19" t="str">
        <f>'[1]1º TRIMESTRE'!Q94</f>
        <v>3.3.90.39</v>
      </c>
      <c r="R94" s="21">
        <f>'[1]1º TRIMESTRE'!R94+192325.45</f>
        <v>405640.72000000003</v>
      </c>
      <c r="S94" s="21">
        <v>192325.45</v>
      </c>
      <c r="T94" s="21">
        <f>'[1]1º TRIMESTRE'!T94+S94</f>
        <v>302737.66000000003</v>
      </c>
      <c r="U94" s="21">
        <f>'[1]1º TRIMESTRE'!U94+S94</f>
        <v>405640.72000000003</v>
      </c>
      <c r="V94" s="23" t="str">
        <f>'[1]1º TRIMESTRE'!V94</f>
        <v>andamento</v>
      </c>
      <c r="W94" s="24">
        <f t="shared" si="5"/>
        <v>0</v>
      </c>
      <c r="X94" s="24"/>
      <c r="Y94" s="24">
        <f t="shared" si="6"/>
        <v>0</v>
      </c>
      <c r="Z94" s="25" t="str">
        <f t="shared" si="7"/>
        <v>and</v>
      </c>
    </row>
    <row r="95" spans="1:26" ht="33.75">
      <c r="A95" s="18" t="str">
        <f>'[1]1º TRIMESTRE'!A95</f>
        <v>CONCORRÊNCIA Licitação: 008/2022</v>
      </c>
      <c r="B95" s="18" t="str">
        <f>'[1]1º TRIMESTRE'!B95</f>
        <v>SERVIÇOS DE RECUPERAÇÃO ESTRUTURAL DA PONTE SANTA ISABEL, QUE LIGA O BAIRRO DA BOA VISTA AO BAIRRO SANTO ANTÔNIO NA CIDADE DO RECIFE/PE (PONTE PRINCESA ISABEL)</v>
      </c>
      <c r="C95" s="19" t="s">
        <v>35</v>
      </c>
      <c r="D95" s="20" t="s">
        <v>36</v>
      </c>
      <c r="E95" s="21">
        <f>'[1]1º TRIMESTRE'!E95</f>
        <v>0</v>
      </c>
      <c r="F95" s="21">
        <f>'[1]1º TRIMESTRE'!F95</f>
        <v>0</v>
      </c>
      <c r="G95" s="18" t="str">
        <f>'[1]1º TRIMESTRE'!G95</f>
        <v>08.064.693/0001-98</v>
      </c>
      <c r="H95" s="18" t="str">
        <f>'[1]1º TRIMESTRE'!H95</f>
        <v>CONCREPOXI ENGENHARIA LTDA</v>
      </c>
      <c r="I95" s="19" t="str">
        <f>'[1]1º TRIMESTRE'!I95</f>
        <v>6-075/22</v>
      </c>
      <c r="J95" s="22">
        <f>'[1]1º TRIMESTRE'!J95</f>
        <v>44910</v>
      </c>
      <c r="K95" s="19">
        <f>'[1]1º TRIMESTRE'!K95</f>
        <v>645</v>
      </c>
      <c r="L95" s="21">
        <f>'[1]1º TRIMESTRE'!L95</f>
        <v>10636776.85</v>
      </c>
      <c r="M95" s="22">
        <f t="shared" si="4"/>
        <v>45555</v>
      </c>
      <c r="N95" s="19">
        <f>'[1]1º TRIMESTRE'!N95</f>
        <v>0</v>
      </c>
      <c r="O95" s="21">
        <f>'[1]1º TRIMESTRE'!O95</f>
        <v>0</v>
      </c>
      <c r="P95" s="21">
        <f>'[1]1º TRIMESTRE'!P95</f>
        <v>0</v>
      </c>
      <c r="Q95" s="19" t="str">
        <f>'[1]1º TRIMESTRE'!Q95</f>
        <v>4.4.90.39</v>
      </c>
      <c r="R95" s="21">
        <f>'[1]1º TRIMESTRE'!R95+642695.65</f>
        <v>911020.38</v>
      </c>
      <c r="S95" s="21">
        <v>811235.85</v>
      </c>
      <c r="T95" s="21">
        <f>'[1]1º TRIMESTRE'!T95+S95</f>
        <v>911020.38</v>
      </c>
      <c r="U95" s="21">
        <f>'[1]1º TRIMESTRE'!U95+S95</f>
        <v>911020.38</v>
      </c>
      <c r="V95" s="23" t="str">
        <f>'[1]1º TRIMESTRE'!V95</f>
        <v>andamento</v>
      </c>
      <c r="W95" s="24">
        <f t="shared" si="5"/>
        <v>0</v>
      </c>
      <c r="X95" s="24"/>
      <c r="Y95" s="24">
        <f t="shared" si="6"/>
        <v>0</v>
      </c>
      <c r="Z95" s="25" t="str">
        <f t="shared" si="7"/>
        <v>and</v>
      </c>
    </row>
    <row r="96" spans="1:26" ht="45">
      <c r="A96" s="18" t="str">
        <f>'[1]1º TRIMESTRE'!A96</f>
        <v>CONCORRÊNCIA Licitação: 015/2022</v>
      </c>
      <c r="B96" s="18" t="str">
        <f>'[1]1º TRIMESTRE'!B96</f>
        <v>CONTRATAÇÃO DE EMPRESA DE ENGENHARIA ESPECIALIZADA EM ILUMINAÇÃO PÚBLICA, PARA FORNECIMENTO E INSTALAÇÃO DE LUMINÁRIA COM TECNOLOGIA LED E REDE ELÉTRICA, PARA ILUMINAÇÃO PEDONAL DO POLÍGONO VIÁRIO DA AGAMENON MAGALHÃES, RECIFE-PE</v>
      </c>
      <c r="C96" s="19">
        <f>'[1]1º TRIMESTRE'!C96</f>
        <v>0</v>
      </c>
      <c r="D96" s="20">
        <f>'[1]1º TRIMESTRE'!D96</f>
        <v>0</v>
      </c>
      <c r="E96" s="21">
        <f>'[1]1º TRIMESTRE'!E96</f>
        <v>0</v>
      </c>
      <c r="F96" s="21">
        <f>'[1]1º TRIMESTRE'!F96</f>
        <v>0</v>
      </c>
      <c r="G96" s="18" t="str">
        <f>'[1]1º TRIMESTRE'!G96</f>
        <v>03.834.750/0001-57</v>
      </c>
      <c r="H96" s="18" t="str">
        <f>'[1]1º TRIMESTRE'!H96</f>
        <v>EIP SERVICOS DE ILUMINACAO LTDA</v>
      </c>
      <c r="I96" s="19" t="str">
        <f>'[1]1º TRIMESTRE'!I96</f>
        <v>6-076/22</v>
      </c>
      <c r="J96" s="22">
        <f>'[1]1º TRIMESTRE'!J96</f>
        <v>44916</v>
      </c>
      <c r="K96" s="19">
        <f>'[1]1º TRIMESTRE'!K96</f>
        <v>790</v>
      </c>
      <c r="L96" s="21">
        <f>'[1]1º TRIMESTRE'!L96</f>
        <v>12692831.300000001</v>
      </c>
      <c r="M96" s="22">
        <f t="shared" si="4"/>
        <v>45706</v>
      </c>
      <c r="N96" s="19">
        <f>'[1]1º TRIMESTRE'!N96</f>
        <v>0</v>
      </c>
      <c r="O96" s="21">
        <f>'[1]1º TRIMESTRE'!O96</f>
        <v>0</v>
      </c>
      <c r="P96" s="21">
        <f>'[1]1º TRIMESTRE'!P96</f>
        <v>0</v>
      </c>
      <c r="Q96" s="19" t="str">
        <f>'[1]1º TRIMESTRE'!Q96</f>
        <v>4.4.90.39</v>
      </c>
      <c r="R96" s="21">
        <f>'[1]1º TRIMESTRE'!R96+1446645.52</f>
        <v>1549424.57</v>
      </c>
      <c r="S96" s="21">
        <v>1549424.57</v>
      </c>
      <c r="T96" s="21">
        <f>'[1]1º TRIMESTRE'!T96+S96</f>
        <v>1549424.57</v>
      </c>
      <c r="U96" s="21">
        <f>'[1]1º TRIMESTRE'!U96+S96</f>
        <v>1549424.57</v>
      </c>
      <c r="V96" s="23" t="str">
        <f>'[1]1º TRIMESTRE'!V96</f>
        <v>andamento</v>
      </c>
      <c r="W96" s="24">
        <f t="shared" si="5"/>
        <v>0</v>
      </c>
      <c r="X96" s="24"/>
      <c r="Y96" s="24">
        <f t="shared" si="6"/>
        <v>0</v>
      </c>
      <c r="Z96" s="25" t="str">
        <f t="shared" si="7"/>
        <v>and</v>
      </c>
    </row>
    <row r="97" spans="1:26" ht="22.5">
      <c r="A97" s="18" t="str">
        <f>'[1]1º TRIMESTRE'!A97</f>
        <v>TOMADA DE PREÇOS Licitação: 005/2022</v>
      </c>
      <c r="B97" s="18" t="str">
        <f>'[1]1º TRIMESTRE'!B97</f>
        <v>SERVIÇOS DE MANUTENÇÃO E RECUPERAÇÃO AMBIENTAL DO ATERRO CONTROLADO DA MURIBECA</v>
      </c>
      <c r="C97" s="19">
        <f>'[1]1º TRIMESTRE'!C97</f>
        <v>0</v>
      </c>
      <c r="D97" s="20">
        <f>'[1]1º TRIMESTRE'!D97</f>
        <v>0</v>
      </c>
      <c r="E97" s="21">
        <f>'[1]1º TRIMESTRE'!E97</f>
        <v>0</v>
      </c>
      <c r="F97" s="21">
        <f>'[1]1º TRIMESTRE'!F97</f>
        <v>0</v>
      </c>
      <c r="G97" s="18" t="str">
        <f>'[1]1º TRIMESTRE'!G97</f>
        <v>10.811.370/0001-62</v>
      </c>
      <c r="H97" s="18" t="str">
        <f>'[1]1º TRIMESTRE'!H97</f>
        <v>GUERRA CONSTRUCOES LTDA</v>
      </c>
      <c r="I97" s="19" t="str">
        <f>'[1]1º TRIMESTRE'!I97</f>
        <v>6-077/22</v>
      </c>
      <c r="J97" s="22">
        <f>'[1]1º TRIMESTRE'!J97</f>
        <v>44916</v>
      </c>
      <c r="K97" s="19">
        <f>'[1]1º TRIMESTRE'!K97</f>
        <v>790</v>
      </c>
      <c r="L97" s="21">
        <f>'[1]1º TRIMESTRE'!L97</f>
        <v>1116122.19</v>
      </c>
      <c r="M97" s="22">
        <f t="shared" si="4"/>
        <v>45706</v>
      </c>
      <c r="N97" s="19">
        <f>'[1]1º TRIMESTRE'!N97</f>
        <v>0</v>
      </c>
      <c r="O97" s="21">
        <f>'[1]1º TRIMESTRE'!O97</f>
        <v>0</v>
      </c>
      <c r="P97" s="21">
        <f>'[1]1º TRIMESTRE'!P97</f>
        <v>0</v>
      </c>
      <c r="Q97" s="19" t="str">
        <f>'[1]1º TRIMESTRE'!Q97</f>
        <v>3.3.90.39</v>
      </c>
      <c r="R97" s="21">
        <f>'[1]1º TRIMESTRE'!R97+79540.54</f>
        <v>236989.82</v>
      </c>
      <c r="S97" s="21">
        <v>129629.23</v>
      </c>
      <c r="T97" s="21">
        <f>'[1]1º TRIMESTRE'!T97+S97</f>
        <v>231603.58000000002</v>
      </c>
      <c r="U97" s="21">
        <f>'[1]1º TRIMESTRE'!U97+S97</f>
        <v>231603.58000000002</v>
      </c>
      <c r="V97" s="23" t="str">
        <f>'[1]1º TRIMESTRE'!V97</f>
        <v>andamento</v>
      </c>
      <c r="W97" s="24">
        <f t="shared" si="5"/>
        <v>-5386.2399999999907</v>
      </c>
      <c r="X97" s="24">
        <v>5386.24</v>
      </c>
      <c r="Y97" s="24">
        <f t="shared" si="6"/>
        <v>9.0949470177292824E-12</v>
      </c>
      <c r="Z97" s="25" t="str">
        <f t="shared" si="7"/>
        <v>and</v>
      </c>
    </row>
    <row r="98" spans="1:26" ht="45">
      <c r="A98" s="18" t="str">
        <f>'[1]1º TRIMESTRE'!A98</f>
        <v>PREGÃO ELETRÔNICO Licitação: 044/2022</v>
      </c>
      <c r="B98" s="18" t="str">
        <f>'[1]1º TRIMESTRE'!B98</f>
        <v>SERVIÇOS DE ENGENHARIA DE BAIXA COMPLEXIDADE PARA O FECHAMENTO DE EDIFICAÇÕES E ÁREAS PÚBLICAS, COM TAPUMES DE MADEIRA, DURANTE O PERÍODO DE CARNAVAL DO ANO DE 2023, E RETIRADA APÓS ESTE PERÍODO, ONDE EXISTE RISCO DE DESABAMENTO E DEPEDRAÇÕES. LOTE I</v>
      </c>
      <c r="C98" s="19">
        <f>'[1]1º TRIMESTRE'!C98</f>
        <v>0</v>
      </c>
      <c r="D98" s="20">
        <f>'[1]1º TRIMESTRE'!D98</f>
        <v>0</v>
      </c>
      <c r="E98" s="21">
        <f>'[1]1º TRIMESTRE'!E98</f>
        <v>0</v>
      </c>
      <c r="F98" s="21">
        <f>'[1]1º TRIMESTRE'!F98</f>
        <v>0</v>
      </c>
      <c r="G98" s="18" t="str">
        <f>'[1]1º TRIMESTRE'!G98</f>
        <v>06.157.352/0001-31</v>
      </c>
      <c r="H98" s="18" t="str">
        <f>'[1]1º TRIMESTRE'!H98</f>
        <v>ROBERTO &amp; JAIR COMÉRCIO E SERVIÇOS LTDA-ME</v>
      </c>
      <c r="I98" s="19" t="str">
        <f>'[1]1º TRIMESTRE'!I98</f>
        <v>6-078/22</v>
      </c>
      <c r="J98" s="22">
        <f>'[1]1º TRIMESTRE'!J98</f>
        <v>44923</v>
      </c>
      <c r="K98" s="19">
        <f>'[1]1º TRIMESTRE'!K98</f>
        <v>60</v>
      </c>
      <c r="L98" s="21">
        <f>'[1]1º TRIMESTRE'!L98</f>
        <v>339990</v>
      </c>
      <c r="M98" s="22">
        <f t="shared" si="4"/>
        <v>44983</v>
      </c>
      <c r="N98" s="19">
        <f>'[1]1º TRIMESTRE'!N98</f>
        <v>0</v>
      </c>
      <c r="O98" s="21">
        <f>'[1]1º TRIMESTRE'!O98</f>
        <v>0</v>
      </c>
      <c r="P98" s="21">
        <f>'[1]1º TRIMESTRE'!P98</f>
        <v>0</v>
      </c>
      <c r="Q98" s="19" t="str">
        <f>'[1]1º TRIMESTRE'!Q98</f>
        <v>3.3.90.39</v>
      </c>
      <c r="R98" s="21">
        <f>'[1]1º TRIMESTRE'!R98</f>
        <v>339989.71</v>
      </c>
      <c r="S98" s="21"/>
      <c r="T98" s="21">
        <f>'[1]1º TRIMESTRE'!T98+S98</f>
        <v>339989.71</v>
      </c>
      <c r="U98" s="21">
        <f>'[1]1º TRIMESTRE'!U98+S98</f>
        <v>339989.71</v>
      </c>
      <c r="V98" s="23" t="str">
        <f>'[1]1º TRIMESTRE'!V98</f>
        <v>encerrado</v>
      </c>
      <c r="W98" s="24">
        <f t="shared" si="5"/>
        <v>0</v>
      </c>
      <c r="X98" s="24"/>
      <c r="Y98" s="24">
        <f t="shared" si="6"/>
        <v>0</v>
      </c>
      <c r="Z98" s="25" t="str">
        <f t="shared" si="7"/>
        <v>enc</v>
      </c>
    </row>
    <row r="99" spans="1:26" ht="45">
      <c r="A99" s="18" t="str">
        <f>'[1]1º TRIMESTRE'!A99</f>
        <v>PREGÃO ELETRÔNICO Licitação: 044/2022</v>
      </c>
      <c r="B99" s="18" t="str">
        <f>'[1]1º TRIMESTRE'!B99</f>
        <v>SERVIÇOS DE ENGENHARIA DE BAIXA COMPLEXIDADE PARA O FECHAMENTO DE EDIFICAÇÕES E ÁREAS PÚBLICAS, COM TAPUMES DE MADEIRA, DURANTE O PERÍODO DE CARNAVAL DO ANO DE 2023, E RETIRADA APÓS ESTE PERÍODO, ONDE EXISTE RISCO DE DESABAMENTO E DEPEDRAÇÕES. LOTE II</v>
      </c>
      <c r="C99" s="19">
        <f>'[1]1º TRIMESTRE'!C99</f>
        <v>0</v>
      </c>
      <c r="D99" s="20">
        <f>'[1]1º TRIMESTRE'!D99</f>
        <v>0</v>
      </c>
      <c r="E99" s="21">
        <f>'[1]1º TRIMESTRE'!E99</f>
        <v>0</v>
      </c>
      <c r="F99" s="21">
        <f>'[1]1º TRIMESTRE'!F99</f>
        <v>0</v>
      </c>
      <c r="G99" s="18" t="str">
        <f>'[1]1º TRIMESTRE'!G99</f>
        <v>08.135.535/0001-81</v>
      </c>
      <c r="H99" s="18" t="str">
        <f>'[1]1º TRIMESTRE'!H99</f>
        <v>CONSTRUTORA FJ LTDA</v>
      </c>
      <c r="I99" s="19" t="str">
        <f>'[1]1º TRIMESTRE'!I99</f>
        <v>6-079/22</v>
      </c>
      <c r="J99" s="22">
        <f>'[1]1º TRIMESTRE'!J99</f>
        <v>44923</v>
      </c>
      <c r="K99" s="19">
        <f>'[1]1º TRIMESTRE'!K99</f>
        <v>60</v>
      </c>
      <c r="L99" s="21">
        <f>'[1]1º TRIMESTRE'!L99</f>
        <v>338899.99</v>
      </c>
      <c r="M99" s="22">
        <f t="shared" si="4"/>
        <v>44983</v>
      </c>
      <c r="N99" s="19">
        <f>'[1]1º TRIMESTRE'!N99</f>
        <v>0</v>
      </c>
      <c r="O99" s="21">
        <f>'[1]1º TRIMESTRE'!O99</f>
        <v>0</v>
      </c>
      <c r="P99" s="21">
        <f>'[1]1º TRIMESTRE'!P99</f>
        <v>0</v>
      </c>
      <c r="Q99" s="19" t="str">
        <f>'[1]1º TRIMESTRE'!Q99</f>
        <v>3.3.90.39</v>
      </c>
      <c r="R99" s="21">
        <f>'[1]1º TRIMESTRE'!R99</f>
        <v>338899.76</v>
      </c>
      <c r="S99" s="21">
        <v>0</v>
      </c>
      <c r="T99" s="21">
        <f>'[1]1º TRIMESTRE'!T99+S99</f>
        <v>338899.76</v>
      </c>
      <c r="U99" s="21">
        <f>'[1]1º TRIMESTRE'!U99+S99</f>
        <v>338899.76</v>
      </c>
      <c r="V99" s="23" t="str">
        <f>'[1]1º TRIMESTRE'!V99</f>
        <v>encerrado</v>
      </c>
      <c r="W99" s="24">
        <f t="shared" si="5"/>
        <v>0</v>
      </c>
      <c r="X99" s="24"/>
      <c r="Y99" s="24">
        <f t="shared" si="6"/>
        <v>0</v>
      </c>
      <c r="Z99" s="25" t="str">
        <f t="shared" si="7"/>
        <v>enc</v>
      </c>
    </row>
    <row r="100" spans="1:26" ht="45">
      <c r="A100" s="18" t="str">
        <f>'[1]1º TRIMESTRE'!A100</f>
        <v>PREGÃO ELETRÔNICO Licitação: 044/2022</v>
      </c>
      <c r="B100" s="18" t="str">
        <f>'[1]1º TRIMESTRE'!B100</f>
        <v>SERVIÇOS DE ENGENHARIA DE BAIXA COMPLEXIDADE PARA O FECHAMENTO DE EDIFICAÇÕES E ÁREAS PÚBLICAS, COM TAPUMES DE MADEIRA, DURANTE O PERÍODO DE CARNAVAL DO ANO DE 2023, E RETIRADA APÓS ESTE PERÍODO, ONDE EXISTE RISCO DE DESABAMENTO E DEPEDRAÇÕES. LOTE III</v>
      </c>
      <c r="C100" s="19">
        <f>'[1]1º TRIMESTRE'!C100</f>
        <v>0</v>
      </c>
      <c r="D100" s="20">
        <f>'[1]1º TRIMESTRE'!D100</f>
        <v>0</v>
      </c>
      <c r="E100" s="21">
        <f>'[1]1º TRIMESTRE'!E100</f>
        <v>0</v>
      </c>
      <c r="F100" s="21">
        <f>'[1]1º TRIMESTRE'!F100</f>
        <v>0</v>
      </c>
      <c r="G100" s="18" t="str">
        <f>'[1]1º TRIMESTRE'!G100</f>
        <v>10.811.370/0001-62</v>
      </c>
      <c r="H100" s="18" t="str">
        <f>'[1]1º TRIMESTRE'!H100</f>
        <v>GUERRA CONSTRUCOES LTDA</v>
      </c>
      <c r="I100" s="19" t="str">
        <f>'[1]1º TRIMESTRE'!I100</f>
        <v>6-080/22</v>
      </c>
      <c r="J100" s="22">
        <f>'[1]1º TRIMESTRE'!J100</f>
        <v>44923</v>
      </c>
      <c r="K100" s="19">
        <f>'[1]1º TRIMESTRE'!K100</f>
        <v>60</v>
      </c>
      <c r="L100" s="21">
        <f>'[1]1º TRIMESTRE'!L100</f>
        <v>435926.72</v>
      </c>
      <c r="M100" s="22">
        <f t="shared" si="4"/>
        <v>44983</v>
      </c>
      <c r="N100" s="19">
        <f>'[1]1º TRIMESTRE'!N100</f>
        <v>0</v>
      </c>
      <c r="O100" s="21">
        <f>'[1]1º TRIMESTRE'!O100</f>
        <v>0</v>
      </c>
      <c r="P100" s="21">
        <f>'[1]1º TRIMESTRE'!P100</f>
        <v>0</v>
      </c>
      <c r="Q100" s="19" t="str">
        <f>'[1]1º TRIMESTRE'!Q100</f>
        <v>3.3.90.39</v>
      </c>
      <c r="R100" s="21">
        <f>'[1]1º TRIMESTRE'!R100</f>
        <v>435714.04</v>
      </c>
      <c r="S100" s="21">
        <v>0</v>
      </c>
      <c r="T100" s="21">
        <f>'[1]1º TRIMESTRE'!T100+S100</f>
        <v>435714.04</v>
      </c>
      <c r="U100" s="21">
        <f>'[1]1º TRIMESTRE'!U100+S100</f>
        <v>435714.04</v>
      </c>
      <c r="V100" s="23" t="str">
        <f>'[1]1º TRIMESTRE'!V100</f>
        <v>encerrado</v>
      </c>
      <c r="W100" s="24">
        <f t="shared" si="5"/>
        <v>0</v>
      </c>
      <c r="X100" s="24"/>
      <c r="Y100" s="24">
        <f t="shared" si="6"/>
        <v>0</v>
      </c>
      <c r="Z100" s="25" t="str">
        <f t="shared" si="7"/>
        <v>enc</v>
      </c>
    </row>
    <row r="101" spans="1:26" ht="45">
      <c r="A101" s="18" t="str">
        <f>'[1]1º TRIMESTRE'!A101</f>
        <v>CONCORRÊNCIA Licitação: 023/2022</v>
      </c>
      <c r="B101" s="18" t="str">
        <f>'[1]1º TRIMESTRE'!B101</f>
        <v>SERVIÇOS DE MANUTENÇÃO CORRETIVA (OPERAÇÃO TAPA BURACO) EM CONCRETO BETUMINOSO USINADO À QUENTE - CBUQ, EM CONCRETO PRÉ MISTURADO A FRIO - PMF, DO SISTEMA VIÁRIO DA CIDADE DO RECIFE. LOTE I, RPA 01</v>
      </c>
      <c r="C101" s="19">
        <f>'[1]1º TRIMESTRE'!C101</f>
        <v>0</v>
      </c>
      <c r="D101" s="20">
        <f>'[1]1º TRIMESTRE'!D101</f>
        <v>0</v>
      </c>
      <c r="E101" s="21">
        <f>'[1]1º TRIMESTRE'!E101</f>
        <v>0</v>
      </c>
      <c r="F101" s="21">
        <f>'[1]1º TRIMESTRE'!F101</f>
        <v>0</v>
      </c>
      <c r="G101" s="18" t="str">
        <f>'[1]1º TRIMESTRE'!G101</f>
        <v>00.999.591/0001-52</v>
      </c>
      <c r="H101" s="18" t="str">
        <f>'[1]1º TRIMESTRE'!H101</f>
        <v xml:space="preserve">AGC CONSTRUTORA E EMPREENDIMENTOS LTDA      </v>
      </c>
      <c r="I101" s="19" t="str">
        <f>'[1]1º TRIMESTRE'!I101</f>
        <v>6-001/23</v>
      </c>
      <c r="J101" s="22">
        <f>'[1]1º TRIMESTRE'!J101</f>
        <v>44928</v>
      </c>
      <c r="K101" s="19">
        <f>'[1]1º TRIMESTRE'!K101</f>
        <v>1125</v>
      </c>
      <c r="L101" s="21">
        <f>'[1]1º TRIMESTRE'!L101</f>
        <v>14926062.529999999</v>
      </c>
      <c r="M101" s="22">
        <f t="shared" si="4"/>
        <v>46053</v>
      </c>
      <c r="N101" s="19">
        <f>'[1]1º TRIMESTRE'!N101</f>
        <v>0</v>
      </c>
      <c r="O101" s="21">
        <f>'[1]1º TRIMESTRE'!O101+25767.3</f>
        <v>25767.3</v>
      </c>
      <c r="P101" s="21">
        <f>'[1]1º TRIMESTRE'!P101</f>
        <v>0</v>
      </c>
      <c r="Q101" s="19" t="str">
        <f>'[1]1º TRIMESTRE'!Q101</f>
        <v>3.3.90.39</v>
      </c>
      <c r="R101" s="21">
        <f>'[1]1º TRIMESTRE'!R101+504473.18</f>
        <v>791461.19</v>
      </c>
      <c r="S101" s="21">
        <v>655801.84</v>
      </c>
      <c r="T101" s="21">
        <f>'[1]1º TRIMESTRE'!T101+S101</f>
        <v>791461.19</v>
      </c>
      <c r="U101" s="21">
        <f>'[1]1º TRIMESTRE'!U101+S101</f>
        <v>791461.19</v>
      </c>
      <c r="V101" s="23" t="str">
        <f>'[1]1º TRIMESTRE'!V101</f>
        <v>andamento</v>
      </c>
      <c r="W101" s="24">
        <f t="shared" si="5"/>
        <v>0</v>
      </c>
      <c r="X101" s="24"/>
      <c r="Y101" s="24">
        <f t="shared" si="6"/>
        <v>0</v>
      </c>
      <c r="Z101" s="25" t="str">
        <f t="shared" si="7"/>
        <v>and</v>
      </c>
    </row>
    <row r="102" spans="1:26" ht="45">
      <c r="A102" s="18" t="str">
        <f>'[1]1º TRIMESTRE'!A102</f>
        <v>CONCORRÊNCIA Licitação: 023/2022</v>
      </c>
      <c r="B102" s="18" t="str">
        <f>'[1]1º TRIMESTRE'!B102</f>
        <v>SERVIÇOS DE MANUTENÇÃO CORRETIVA (OPERAÇÃO TAPA BURACO) EM CONCRETO BETUMINOSO USINADO À QUENTE - CBUQ, EM CONCRETO PRÉ MISTURADO A FRIO - PMF, DO SISTEMA VIÁRIO DA CIDADE DO RECIFE. LOTE II - RPA 02 E 03</v>
      </c>
      <c r="C102" s="19">
        <f>'[1]1º TRIMESTRE'!C102</f>
        <v>0</v>
      </c>
      <c r="D102" s="20">
        <f>'[1]1º TRIMESTRE'!D102</f>
        <v>0</v>
      </c>
      <c r="E102" s="21">
        <f>'[1]1º TRIMESTRE'!E102</f>
        <v>0</v>
      </c>
      <c r="F102" s="21">
        <f>'[1]1º TRIMESTRE'!F102</f>
        <v>0</v>
      </c>
      <c r="G102" s="18" t="str">
        <f>'[1]1º TRIMESTRE'!G102</f>
        <v>00.999.591/0001-52</v>
      </c>
      <c r="H102" s="18" t="str">
        <f>'[1]1º TRIMESTRE'!H102</f>
        <v xml:space="preserve">AGC CONSTRUTORA E EMPREENDIMENTOS LTDA      </v>
      </c>
      <c r="I102" s="19" t="str">
        <f>'[1]1º TRIMESTRE'!I102</f>
        <v>6-002/23</v>
      </c>
      <c r="J102" s="22">
        <f>'[1]1º TRIMESTRE'!J102</f>
        <v>44952</v>
      </c>
      <c r="K102" s="19">
        <f>'[1]1º TRIMESTRE'!K102</f>
        <v>1125</v>
      </c>
      <c r="L102" s="21">
        <f>'[1]1º TRIMESTRE'!L102</f>
        <v>18344816.460000001</v>
      </c>
      <c r="M102" s="22">
        <f t="shared" si="4"/>
        <v>46077</v>
      </c>
      <c r="N102" s="19">
        <f>'[1]1º TRIMESTRE'!N102</f>
        <v>0</v>
      </c>
      <c r="O102" s="21">
        <f>'[1]1º TRIMESTRE'!O102</f>
        <v>0</v>
      </c>
      <c r="P102" s="21">
        <f>'[1]1º TRIMESTRE'!P102</f>
        <v>0</v>
      </c>
      <c r="Q102" s="19" t="str">
        <f>'[1]1º TRIMESTRE'!Q102</f>
        <v>3.3.90.39</v>
      </c>
      <c r="R102" s="21">
        <f>'[1]1º TRIMESTRE'!R102+907848.34</f>
        <v>1479348.2999999998</v>
      </c>
      <c r="S102" s="21">
        <v>1083714.7</v>
      </c>
      <c r="T102" s="21">
        <f>'[1]1º TRIMESTRE'!T102+S102</f>
        <v>1310537.92</v>
      </c>
      <c r="U102" s="21">
        <f>'[1]1º TRIMESTRE'!U102+S102</f>
        <v>1310537.92</v>
      </c>
      <c r="V102" s="23" t="str">
        <f>'[1]1º TRIMESTRE'!V102</f>
        <v>andamento</v>
      </c>
      <c r="W102" s="24">
        <f t="shared" si="5"/>
        <v>-168810.37999999989</v>
      </c>
      <c r="X102" s="24">
        <v>168810.38</v>
      </c>
      <c r="Y102" s="24">
        <f t="shared" si="6"/>
        <v>0</v>
      </c>
      <c r="Z102" s="25" t="str">
        <f t="shared" si="7"/>
        <v>and</v>
      </c>
    </row>
    <row r="103" spans="1:26" ht="45">
      <c r="A103" s="18" t="str">
        <f>'[1]1º TRIMESTRE'!A103</f>
        <v>CONCORRÊNCIA Licitação: 023/2022</v>
      </c>
      <c r="B103" s="18" t="str">
        <f>'[1]1º TRIMESTRE'!B103</f>
        <v>SERVIÇOS DE MANUTENÇÃO CORRETIVA (OPERAÇÃO TAPA BURACO) EM CONCRETO BETUMINOSO USINADO À QUENTE - CBUQ, EM CONCRETO PRÉ MISTURADO A FRIO - PMF, DO SISTEMA VIÁRIO DA CIDADE DO RECIFE. LOTE III - RPA 04 E 05</v>
      </c>
      <c r="C103" s="19">
        <f>'[1]1º TRIMESTRE'!C103</f>
        <v>0</v>
      </c>
      <c r="D103" s="20">
        <f>'[1]1º TRIMESTRE'!D103</f>
        <v>0</v>
      </c>
      <c r="E103" s="21">
        <f>'[1]1º TRIMESTRE'!E103</f>
        <v>0</v>
      </c>
      <c r="F103" s="21">
        <f>'[1]1º TRIMESTRE'!F103</f>
        <v>0</v>
      </c>
      <c r="G103" s="18" t="str">
        <f>'[1]1º TRIMESTRE'!G103</f>
        <v>00.999.591/0001-52</v>
      </c>
      <c r="H103" s="18" t="str">
        <f>'[1]1º TRIMESTRE'!H103</f>
        <v xml:space="preserve">AGC CONSTRUTORA E EMPREENDIMENTOS LTDA      </v>
      </c>
      <c r="I103" s="19" t="str">
        <f>'[1]1º TRIMESTRE'!I103</f>
        <v>6-003/23</v>
      </c>
      <c r="J103" s="22">
        <f>'[1]1º TRIMESTRE'!J103</f>
        <v>44928</v>
      </c>
      <c r="K103" s="19">
        <f>'[1]1º TRIMESTRE'!K103</f>
        <v>1125</v>
      </c>
      <c r="L103" s="21">
        <f>'[1]1º TRIMESTRE'!L103</f>
        <v>23425634.329999998</v>
      </c>
      <c r="M103" s="22">
        <f t="shared" si="4"/>
        <v>46053</v>
      </c>
      <c r="N103" s="19">
        <f>'[1]1º TRIMESTRE'!N103</f>
        <v>0</v>
      </c>
      <c r="O103" s="21">
        <f>'[1]1º TRIMESTRE'!O103</f>
        <v>0</v>
      </c>
      <c r="P103" s="21">
        <f>'[1]1º TRIMESTRE'!P103</f>
        <v>0</v>
      </c>
      <c r="Q103" s="19" t="str">
        <f>'[1]1º TRIMESTRE'!Q103</f>
        <v>3.3.90.39</v>
      </c>
      <c r="R103" s="21">
        <f>'[1]1º TRIMESTRE'!R103+1134794.68</f>
        <v>1977325</v>
      </c>
      <c r="S103" s="21">
        <v>1349313.8900000001</v>
      </c>
      <c r="T103" s="21">
        <f>'[1]1º TRIMESTRE'!T103+S103</f>
        <v>1547755.4400000002</v>
      </c>
      <c r="U103" s="21">
        <f>'[1]1º TRIMESTRE'!U103+S103</f>
        <v>1547755.4400000002</v>
      </c>
      <c r="V103" s="23" t="str">
        <f>'[1]1º TRIMESTRE'!V103</f>
        <v>andamento</v>
      </c>
      <c r="W103" s="24">
        <f t="shared" si="5"/>
        <v>-429569.55999999982</v>
      </c>
      <c r="X103" s="24">
        <v>49585.47</v>
      </c>
      <c r="Y103" s="24">
        <f t="shared" si="6"/>
        <v>-379984.08999999985</v>
      </c>
      <c r="Z103" s="25" t="str">
        <f t="shared" si="7"/>
        <v>and</v>
      </c>
    </row>
    <row r="104" spans="1:26" ht="45">
      <c r="A104" s="18" t="str">
        <f>'[1]1º TRIMESTRE'!A104</f>
        <v>CONCORRÊNCIA Licitação: 023/2022</v>
      </c>
      <c r="B104" s="18" t="str">
        <f>'[1]1º TRIMESTRE'!B104</f>
        <v>SERVIÇOS DE MANUTENÇÃO CORRETIVA (OPERAÇÃO TAPA BURACO) EM CONCRETO BETUMINOSO USINADO À QUENTE - CBUQ, EM CONCRETO PRÉ MISTURADO A FRIO - PMF, DO SISTEMA VIÁRIO DA CIDADE DO RECIFE. LOTE IV - RPA 06</v>
      </c>
      <c r="C104" s="19">
        <f>'[1]1º TRIMESTRE'!C104</f>
        <v>0</v>
      </c>
      <c r="D104" s="20">
        <f>'[1]1º TRIMESTRE'!D104</f>
        <v>0</v>
      </c>
      <c r="E104" s="21">
        <f>'[1]1º TRIMESTRE'!E104</f>
        <v>0</v>
      </c>
      <c r="F104" s="21">
        <f>'[1]1º TRIMESTRE'!F104</f>
        <v>0</v>
      </c>
      <c r="G104" s="18" t="str">
        <f>'[1]1º TRIMESTRE'!G104</f>
        <v>40.882.060/0001-08</v>
      </c>
      <c r="H104" s="18" t="str">
        <f>'[1]1º TRIMESTRE'!H104</f>
        <v>LIDERMAC CONSTRUCOES E EQUIPAMENTOS LTDA</v>
      </c>
      <c r="I104" s="19" t="str">
        <f>'[1]1º TRIMESTRE'!I104</f>
        <v>6-004/23</v>
      </c>
      <c r="J104" s="22">
        <f>'[1]1º TRIMESTRE'!J104</f>
        <v>44952</v>
      </c>
      <c r="K104" s="19">
        <f>'[1]1º TRIMESTRE'!K104</f>
        <v>1125</v>
      </c>
      <c r="L104" s="21">
        <f>'[1]1º TRIMESTRE'!L104</f>
        <v>20802547.25</v>
      </c>
      <c r="M104" s="22">
        <f t="shared" si="4"/>
        <v>46077</v>
      </c>
      <c r="N104" s="19">
        <f>'[1]1º TRIMESTRE'!N104</f>
        <v>0</v>
      </c>
      <c r="O104" s="21">
        <f>'[1]1º TRIMESTRE'!O104</f>
        <v>0</v>
      </c>
      <c r="P104" s="21">
        <f>'[1]1º TRIMESTRE'!P104</f>
        <v>0</v>
      </c>
      <c r="Q104" s="19" t="str">
        <f>'[1]1º TRIMESTRE'!Q104</f>
        <v>3.3.90.39</v>
      </c>
      <c r="R104" s="21">
        <f>'[1]1º TRIMESTRE'!R104+835747.53</f>
        <v>1435386.63</v>
      </c>
      <c r="S104" s="21">
        <v>739158.22</v>
      </c>
      <c r="T104" s="21">
        <f>'[1]1º TRIMESTRE'!T104+S104</f>
        <v>1133252.97</v>
      </c>
      <c r="U104" s="21">
        <f>'[1]1º TRIMESTRE'!U104+S104</f>
        <v>1133252.97</v>
      </c>
      <c r="V104" s="23" t="str">
        <f>'[1]1º TRIMESTRE'!V104</f>
        <v>andamento</v>
      </c>
      <c r="W104" s="24">
        <f t="shared" si="5"/>
        <v>-302133.65999999992</v>
      </c>
      <c r="X104" s="24">
        <v>302133.65999999997</v>
      </c>
      <c r="Y104" s="24">
        <f t="shared" si="6"/>
        <v>0</v>
      </c>
      <c r="Z104" s="25" t="str">
        <f t="shared" si="7"/>
        <v>and</v>
      </c>
    </row>
    <row r="105" spans="1:26" ht="22.5">
      <c r="A105" s="18" t="str">
        <f>'[1]1º TRIMESTRE'!A105</f>
        <v>TOMADA DE PREÇOS Licitação: 008/2022</v>
      </c>
      <c r="B105" s="18" t="str">
        <f>'[1]1º TRIMESTRE'!B105</f>
        <v>IMPLEMENTAÇÃO DE PRAÇAS PARA A INFÂNCIA, NA PRAÇA SAN MARTIN E NO COMPAZ MIGUEL ARRAES DA CIDADE DO RECIFE</v>
      </c>
      <c r="C105" s="19" t="s">
        <v>35</v>
      </c>
      <c r="D105" s="20" t="s">
        <v>36</v>
      </c>
      <c r="E105" s="21">
        <f>'[1]1º TRIMESTRE'!E105</f>
        <v>0</v>
      </c>
      <c r="F105" s="21">
        <f>'[1]1º TRIMESTRE'!F105</f>
        <v>0</v>
      </c>
      <c r="G105" s="18" t="str">
        <f>'[1]1º TRIMESTRE'!G105</f>
        <v>08.135.535/0001-81</v>
      </c>
      <c r="H105" s="18" t="str">
        <f>'[1]1º TRIMESTRE'!H105</f>
        <v>CONSTRUTORA FJ LTDA</v>
      </c>
      <c r="I105" s="19" t="str">
        <f>'[1]1º TRIMESTRE'!I105</f>
        <v>6-006/23</v>
      </c>
      <c r="J105" s="22">
        <f>'[1]1º TRIMESTRE'!J105</f>
        <v>44998</v>
      </c>
      <c r="K105" s="19">
        <f>'[1]1º TRIMESTRE'!K105</f>
        <v>150</v>
      </c>
      <c r="L105" s="21">
        <f>'[1]1º TRIMESTRE'!L105</f>
        <v>1402393.67</v>
      </c>
      <c r="M105" s="22">
        <f t="shared" si="4"/>
        <v>45148</v>
      </c>
      <c r="N105" s="19">
        <f>'[1]1º TRIMESTRE'!N105</f>
        <v>0</v>
      </c>
      <c r="O105" s="21">
        <f>'[1]1º TRIMESTRE'!O105</f>
        <v>0</v>
      </c>
      <c r="P105" s="21">
        <f>'[1]1º TRIMESTRE'!P105</f>
        <v>0</v>
      </c>
      <c r="Q105" s="19" t="str">
        <f>'[1]1º TRIMESTRE'!Q105</f>
        <v>4.4.90.39</v>
      </c>
      <c r="R105" s="21">
        <f>'[1]1º TRIMESTRE'!R105+981851.97</f>
        <v>981851.97</v>
      </c>
      <c r="S105" s="21">
        <v>541286.90999999992</v>
      </c>
      <c r="T105" s="21">
        <f>'[1]1º TRIMESTRE'!T105+S105</f>
        <v>541286.90999999992</v>
      </c>
      <c r="U105" s="21">
        <f>'[1]1º TRIMESTRE'!U105+S105</f>
        <v>541286.90999999992</v>
      </c>
      <c r="V105" s="23" t="s">
        <v>37</v>
      </c>
      <c r="W105" s="24">
        <f t="shared" si="5"/>
        <v>-440565.06000000006</v>
      </c>
      <c r="X105" s="24">
        <v>209201.12</v>
      </c>
      <c r="Y105" s="24">
        <f t="shared" si="6"/>
        <v>-231363.94000000006</v>
      </c>
      <c r="Z105" s="25" t="str">
        <f t="shared" si="7"/>
        <v>and</v>
      </c>
    </row>
    <row r="106" spans="1:26" ht="33.75">
      <c r="A106" s="18" t="str">
        <f>'[1]1º TRIMESTRE'!A107</f>
        <v>CONCORRÊNCIA Licitação: 022/2022</v>
      </c>
      <c r="B106" s="18" t="str">
        <f>'[1]1º TRIMESTRE'!B107</f>
        <v>EXECUÇÃO DE OBRAS DE IMPLANTAÇÃO DE DRENAGEM PLUVIAL E PAVIMENTAÇÃO DE RUAS DA CIDADE DO RECIFE, LOCALIZADAS NOS BAIRROS DE SÍTIO DOS PINTOS, BOA VIAGEM E POÇO DA PANELA.    LOTE I</v>
      </c>
      <c r="C106" s="19" t="s">
        <v>35</v>
      </c>
      <c r="D106" s="20" t="s">
        <v>36</v>
      </c>
      <c r="E106" s="21">
        <f>'[1]1º TRIMESTRE'!E107</f>
        <v>0</v>
      </c>
      <c r="F106" s="21">
        <f>'[1]1º TRIMESTRE'!F107</f>
        <v>0</v>
      </c>
      <c r="G106" s="18" t="str">
        <f>'[1]1º TRIMESTRE'!G107</f>
        <v>07.157.925/0001-90</v>
      </c>
      <c r="H106" s="18" t="str">
        <f>'[1]1º TRIMESTRE'!H107</f>
        <v>WB CONSTRUTORA LTDA</v>
      </c>
      <c r="I106" s="19" t="str">
        <f>'[1]1º TRIMESTRE'!I107</f>
        <v>6-009/23</v>
      </c>
      <c r="J106" s="22">
        <f>'[1]1º TRIMESTRE'!J107</f>
        <v>44967</v>
      </c>
      <c r="K106" s="19">
        <f>'[1]1º TRIMESTRE'!K107</f>
        <v>300</v>
      </c>
      <c r="L106" s="21">
        <f>'[1]1º TRIMESTRE'!L107</f>
        <v>5670580.4299999997</v>
      </c>
      <c r="M106" s="22">
        <f t="shared" si="4"/>
        <v>45267</v>
      </c>
      <c r="N106" s="19">
        <f>'[1]1º TRIMESTRE'!N107</f>
        <v>0</v>
      </c>
      <c r="O106" s="21">
        <f>'[1]1º TRIMESTRE'!O107</f>
        <v>0</v>
      </c>
      <c r="P106" s="21">
        <f>'[1]1º TRIMESTRE'!P107</f>
        <v>0</v>
      </c>
      <c r="Q106" s="19" t="str">
        <f>'[1]1º TRIMESTRE'!Q107</f>
        <v>4.4.90.39</v>
      </c>
      <c r="R106" s="21">
        <f>'[1]1º TRIMESTRE'!R107+1021504.6</f>
        <v>1723512.52</v>
      </c>
      <c r="S106" s="21">
        <v>1723512.52</v>
      </c>
      <c r="T106" s="21">
        <f>'[1]1º TRIMESTRE'!T107+S106</f>
        <v>1723512.52</v>
      </c>
      <c r="U106" s="21">
        <f>'[1]1º TRIMESTRE'!U107+S106</f>
        <v>1723512.52</v>
      </c>
      <c r="V106" s="23" t="str">
        <f>'[1]1º TRIMESTRE'!V107</f>
        <v>andamento</v>
      </c>
      <c r="W106" s="24">
        <f t="shared" si="5"/>
        <v>0</v>
      </c>
      <c r="X106" s="24"/>
      <c r="Y106" s="24">
        <f t="shared" si="6"/>
        <v>0</v>
      </c>
      <c r="Z106" s="25" t="str">
        <f t="shared" si="7"/>
        <v>and</v>
      </c>
    </row>
    <row r="107" spans="1:26" ht="33.75">
      <c r="A107" s="18" t="str">
        <f>'[1]1º TRIMESTRE'!A108</f>
        <v>CONCORRÊNCIA Licitação: 022/2022</v>
      </c>
      <c r="B107" s="18" t="str">
        <f>'[1]1º TRIMESTRE'!B108</f>
        <v>EXECUÇÃO DE OBRAS DE IMPLANTAÇÃO DE DRENAGEM PLUVIAL E PAVIMENTAÇÃO DE RUAS DA CIDADE DO RECIFE, LOCALIZADAS NOS BAIRROS DE SÍTIO DOS PINTOS, BOA VIAGEM E POÇO DA PANELA.   LOTE II</v>
      </c>
      <c r="C107" s="19" t="s">
        <v>35</v>
      </c>
      <c r="D107" s="20" t="s">
        <v>36</v>
      </c>
      <c r="E107" s="21">
        <f>'[1]1º TRIMESTRE'!E108</f>
        <v>0</v>
      </c>
      <c r="F107" s="21">
        <f>'[1]1º TRIMESTRE'!F108</f>
        <v>0</v>
      </c>
      <c r="G107" s="18" t="str">
        <f>'[1]1º TRIMESTRE'!G108</f>
        <v>07.157.925/0001-90</v>
      </c>
      <c r="H107" s="18" t="str">
        <f>'[1]1º TRIMESTRE'!H108</f>
        <v>WB CONSTRUTORA LTDA</v>
      </c>
      <c r="I107" s="19" t="str">
        <f>'[1]1º TRIMESTRE'!I108</f>
        <v>6-010/23</v>
      </c>
      <c r="J107" s="22">
        <f>'[1]1º TRIMESTRE'!J108</f>
        <v>44967</v>
      </c>
      <c r="K107" s="19">
        <f>'[1]1º TRIMESTRE'!K108</f>
        <v>150</v>
      </c>
      <c r="L107" s="21">
        <f>'[1]1º TRIMESTRE'!L108</f>
        <v>891552.31</v>
      </c>
      <c r="M107" s="22">
        <f t="shared" si="4"/>
        <v>45117</v>
      </c>
      <c r="N107" s="19">
        <f>'[1]1º TRIMESTRE'!N108</f>
        <v>0</v>
      </c>
      <c r="O107" s="21">
        <f>'[1]1º TRIMESTRE'!O108</f>
        <v>0</v>
      </c>
      <c r="P107" s="21">
        <f>'[1]1º TRIMESTRE'!P108</f>
        <v>0</v>
      </c>
      <c r="Q107" s="19" t="str">
        <f>'[1]1º TRIMESTRE'!Q108</f>
        <v>4.4.90.39</v>
      </c>
      <c r="R107" s="21">
        <f>'[1]1º TRIMESTRE'!R108+663743.39</f>
        <v>663743.39</v>
      </c>
      <c r="S107" s="21">
        <v>143747.31</v>
      </c>
      <c r="T107" s="21">
        <f>'[1]1º TRIMESTRE'!T108+S107</f>
        <v>143747.31</v>
      </c>
      <c r="U107" s="21">
        <f>'[1]1º TRIMESTRE'!U108+S107</f>
        <v>143747.31</v>
      </c>
      <c r="V107" s="23" t="str">
        <f>'[1]1º TRIMESTRE'!V108</f>
        <v>andamento</v>
      </c>
      <c r="W107" s="24">
        <f t="shared" si="5"/>
        <v>-519996.08</v>
      </c>
      <c r="X107" s="24"/>
      <c r="Y107" s="24">
        <f t="shared" si="6"/>
        <v>-519996.08</v>
      </c>
      <c r="Z107" s="25" t="str">
        <f t="shared" si="7"/>
        <v>and</v>
      </c>
    </row>
    <row r="108" spans="1:26" ht="22.5">
      <c r="A108" s="18" t="str">
        <f>'[1]1º TRIMESTRE'!A109</f>
        <v>CONCORRÊNCIA Licitação: 025/2022</v>
      </c>
      <c r="B108" s="18" t="str">
        <f>'[1]1º TRIMESTRE'!B109</f>
        <v>EXECUÇÃO DOS SERVIÇOS DE IMPLANTAÇÃO DA REDE DE DRENAGEM DE ÁGUAS PLUVIAIS E PAVIMENTAÇÃO DE VIAS EM DIVERSAS RPA'S DA CIDADE DO RECIFE</v>
      </c>
      <c r="C108" s="19" t="s">
        <v>35</v>
      </c>
      <c r="D108" s="20" t="s">
        <v>36</v>
      </c>
      <c r="E108" s="21">
        <f>'[1]1º TRIMESTRE'!E109</f>
        <v>0</v>
      </c>
      <c r="F108" s="21">
        <f>'[1]1º TRIMESTRE'!F109</f>
        <v>0</v>
      </c>
      <c r="G108" s="18" t="str">
        <f>'[1]1º TRIMESTRE'!G109</f>
        <v>03.400.040/0001-19</v>
      </c>
      <c r="H108" s="18" t="str">
        <f>'[1]1º TRIMESTRE'!H109</f>
        <v>TOPEC EMPREENDIMENTOS E SERVICOS LTDA</v>
      </c>
      <c r="I108" s="19" t="str">
        <f>'[1]1º TRIMESTRE'!I109</f>
        <v>6-011/23</v>
      </c>
      <c r="J108" s="22">
        <f>'[1]1º TRIMESTRE'!J109</f>
        <v>44966</v>
      </c>
      <c r="K108" s="19">
        <f>'[1]1º TRIMESTRE'!K109</f>
        <v>210</v>
      </c>
      <c r="L108" s="21">
        <f>'[1]1º TRIMESTRE'!L109</f>
        <v>7809500.1100000003</v>
      </c>
      <c r="M108" s="22">
        <f t="shared" si="4"/>
        <v>45176</v>
      </c>
      <c r="N108" s="19">
        <f>'[1]1º TRIMESTRE'!N109</f>
        <v>0</v>
      </c>
      <c r="O108" s="21">
        <f>'[1]1º TRIMESTRE'!O109</f>
        <v>0</v>
      </c>
      <c r="P108" s="21">
        <f>'[1]1º TRIMESTRE'!P109</f>
        <v>0</v>
      </c>
      <c r="Q108" s="19" t="str">
        <f>'[1]1º TRIMESTRE'!Q109</f>
        <v>4.4.90.39</v>
      </c>
      <c r="R108" s="21">
        <f>'[1]1º TRIMESTRE'!R109+1927330.56</f>
        <v>1927330.56</v>
      </c>
      <c r="S108" s="21">
        <v>1199546.43</v>
      </c>
      <c r="T108" s="21">
        <f>'[1]1º TRIMESTRE'!T109+S108</f>
        <v>1199546.43</v>
      </c>
      <c r="U108" s="21">
        <f>'[1]1º TRIMESTRE'!U109+S108</f>
        <v>1199546.43</v>
      </c>
      <c r="V108" s="23" t="str">
        <f>'[1]1º TRIMESTRE'!V109</f>
        <v>andamento</v>
      </c>
      <c r="W108" s="24">
        <f t="shared" si="5"/>
        <v>-727784.13000000012</v>
      </c>
      <c r="X108" s="24">
        <f>236662.89+148881.23+342240.01</f>
        <v>727784.13</v>
      </c>
      <c r="Y108" s="24">
        <f t="shared" si="6"/>
        <v>0</v>
      </c>
      <c r="Z108" s="25" t="str">
        <f t="shared" si="7"/>
        <v>and</v>
      </c>
    </row>
    <row r="109" spans="1:26" ht="33.75">
      <c r="A109" s="18" t="str">
        <f>'[1]1º TRIMESTRE'!A110</f>
        <v>PREGÃO ELETRÔNICO Licitação: 049/2022</v>
      </c>
      <c r="B109" s="18" t="str">
        <f>'[1]1º TRIMESTRE'!B110</f>
        <v>CONSTRUÇÃO DE MÓDULOS 44A, 49A E 68A (GAVETAS E OSSUÁRIOS) NO CEMITÉRIO DE SANTO AMARO – BAIRRO DE SANTO AMARO. (NÚMERO DE PROCESSO: 15.001238/2022-15)</v>
      </c>
      <c r="C109" s="19"/>
      <c r="D109" s="20"/>
      <c r="E109" s="21"/>
      <c r="F109" s="21"/>
      <c r="G109" s="18" t="str">
        <f>'[1]1º TRIMESTRE'!G110</f>
        <v>34.071.337/0001-01</v>
      </c>
      <c r="H109" s="18" t="str">
        <f>'[1]1º TRIMESTRE'!H110</f>
        <v>FONTE SOUTO CONSTRUÇÕES EIRELI</v>
      </c>
      <c r="I109" s="19" t="str">
        <f>'[1]1º TRIMESTRE'!I110</f>
        <v>6-012/23</v>
      </c>
      <c r="J109" s="22">
        <f>'[1]1º TRIMESTRE'!J110</f>
        <v>44971</v>
      </c>
      <c r="K109" s="19">
        <f>'[1]1º TRIMESTRE'!K110</f>
        <v>150</v>
      </c>
      <c r="L109" s="21">
        <f>'[1]1º TRIMESTRE'!L110</f>
        <v>289997.93</v>
      </c>
      <c r="M109" s="22">
        <f t="shared" si="4"/>
        <v>45121</v>
      </c>
      <c r="N109" s="19">
        <f>'[1]1º TRIMESTRE'!N110</f>
        <v>0</v>
      </c>
      <c r="O109" s="21">
        <f>'[1]1º TRIMESTRE'!O110</f>
        <v>0</v>
      </c>
      <c r="P109" s="21">
        <f>'[1]1º TRIMESTRE'!P110</f>
        <v>0</v>
      </c>
      <c r="Q109" s="19" t="str">
        <f>'[1]1º TRIMESTRE'!Q110</f>
        <v>4.4.90.39</v>
      </c>
      <c r="R109" s="21">
        <f>'[1]1º TRIMESTRE'!R110+209541.84</f>
        <v>269088.65999999997</v>
      </c>
      <c r="S109" s="21">
        <v>252905.84</v>
      </c>
      <c r="T109" s="21">
        <f>'[1]1º TRIMESTRE'!T110+S109</f>
        <v>252905.84</v>
      </c>
      <c r="U109" s="21">
        <f>'[1]1º TRIMESTRE'!U110+S109</f>
        <v>252905.84</v>
      </c>
      <c r="V109" s="23" t="str">
        <f>'[1]1º TRIMESTRE'!V110</f>
        <v>andamento</v>
      </c>
      <c r="W109" s="24">
        <f t="shared" si="5"/>
        <v>-16182.819999999978</v>
      </c>
      <c r="X109" s="24">
        <v>16182.82</v>
      </c>
      <c r="Y109" s="24">
        <f t="shared" si="6"/>
        <v>2.1827872842550278E-11</v>
      </c>
      <c r="Z109" s="25" t="str">
        <f t="shared" si="7"/>
        <v>and</v>
      </c>
    </row>
    <row r="110" spans="1:26" ht="45">
      <c r="A110" s="18" t="s">
        <v>38</v>
      </c>
      <c r="B110" s="18" t="s">
        <v>39</v>
      </c>
      <c r="C110" s="19"/>
      <c r="D110" s="20"/>
      <c r="E110" s="21"/>
      <c r="F110" s="21"/>
      <c r="G110" s="18" t="s">
        <v>40</v>
      </c>
      <c r="H110" s="18" t="s">
        <v>41</v>
      </c>
      <c r="I110" s="19" t="str">
        <f>'[1]1º TRIMESTRE'!I111</f>
        <v>6-013/23</v>
      </c>
      <c r="J110" s="22">
        <v>44967</v>
      </c>
      <c r="K110" s="19">
        <v>395</v>
      </c>
      <c r="L110" s="28">
        <v>899176.09</v>
      </c>
      <c r="M110" s="22">
        <f t="shared" si="4"/>
        <v>45362</v>
      </c>
      <c r="N110" s="19">
        <f>'[1]1º TRIMESTRE'!N111</f>
        <v>0</v>
      </c>
      <c r="O110" s="21">
        <f>'[1]1º TRIMESTRE'!O111</f>
        <v>0</v>
      </c>
      <c r="P110" s="21"/>
      <c r="Q110" s="19" t="s">
        <v>42</v>
      </c>
      <c r="R110" s="21">
        <f>'[1]1º TRIMESTRE'!R111+88798.31</f>
        <v>88798.31</v>
      </c>
      <c r="S110" s="21">
        <v>88798.31</v>
      </c>
      <c r="T110" s="21">
        <f>'[1]1º TRIMESTRE'!T111+S110</f>
        <v>88798.31</v>
      </c>
      <c r="U110" s="21">
        <f>'[1]1º TRIMESTRE'!U111+S110</f>
        <v>88798.31</v>
      </c>
      <c r="V110" s="23" t="s">
        <v>37</v>
      </c>
      <c r="W110" s="24">
        <f t="shared" si="5"/>
        <v>0</v>
      </c>
      <c r="X110" s="24"/>
      <c r="Y110" s="24">
        <f t="shared" si="6"/>
        <v>0</v>
      </c>
      <c r="Z110" s="25" t="str">
        <f t="shared" si="7"/>
        <v>and</v>
      </c>
    </row>
    <row r="111" spans="1:26" ht="33.75">
      <c r="A111" s="18" t="s">
        <v>43</v>
      </c>
      <c r="B111" s="18" t="s">
        <v>44</v>
      </c>
      <c r="C111" s="19"/>
      <c r="D111" s="20"/>
      <c r="E111" s="21"/>
      <c r="F111" s="21"/>
      <c r="G111" s="18" t="s">
        <v>45</v>
      </c>
      <c r="H111" s="18" t="s">
        <v>46</v>
      </c>
      <c r="I111" s="19" t="str">
        <f>'[1]1º TRIMESTRE'!I112</f>
        <v>6-015/23</v>
      </c>
      <c r="J111" s="22">
        <v>44973</v>
      </c>
      <c r="K111" s="19">
        <v>730</v>
      </c>
      <c r="L111" s="28">
        <v>4873574.38</v>
      </c>
      <c r="M111" s="22">
        <f t="shared" si="4"/>
        <v>45703</v>
      </c>
      <c r="N111" s="19">
        <f>'[1]1º TRIMESTRE'!N112</f>
        <v>0</v>
      </c>
      <c r="O111" s="21">
        <f>'[1]1º TRIMESTRE'!O112</f>
        <v>0</v>
      </c>
      <c r="P111" s="21">
        <f>'[1]1º TRIMESTRE'!P112</f>
        <v>0</v>
      </c>
      <c r="Q111" s="19" t="s">
        <v>42</v>
      </c>
      <c r="R111" s="21">
        <f>'[1]1º TRIMESTRE'!R112+643783.65</f>
        <v>643783.65</v>
      </c>
      <c r="S111" s="21">
        <v>272777.05</v>
      </c>
      <c r="T111" s="21">
        <f>'[1]1º TRIMESTRE'!T112+S111</f>
        <v>272777.05</v>
      </c>
      <c r="U111" s="21">
        <f>'[1]1º TRIMESTRE'!U112+S111</f>
        <v>272777.05</v>
      </c>
      <c r="V111" s="23" t="s">
        <v>37</v>
      </c>
      <c r="W111" s="24">
        <f t="shared" si="5"/>
        <v>-371006.60000000003</v>
      </c>
      <c r="X111" s="24">
        <v>371006.6</v>
      </c>
      <c r="Y111" s="24">
        <f t="shared" si="6"/>
        <v>0</v>
      </c>
      <c r="Z111" s="25" t="str">
        <f t="shared" si="7"/>
        <v>and</v>
      </c>
    </row>
    <row r="112" spans="1:26" ht="33.75">
      <c r="A112" s="18" t="s">
        <v>47</v>
      </c>
      <c r="B112" s="18" t="s">
        <v>48</v>
      </c>
      <c r="C112" s="19" t="s">
        <v>35</v>
      </c>
      <c r="D112" s="20" t="s">
        <v>36</v>
      </c>
      <c r="E112" s="21"/>
      <c r="F112" s="21"/>
      <c r="G112" s="18" t="s">
        <v>49</v>
      </c>
      <c r="H112" s="18" t="s">
        <v>50</v>
      </c>
      <c r="I112" s="19" t="str">
        <f>'[1]1º TRIMESTRE'!I113</f>
        <v>6-018/23</v>
      </c>
      <c r="J112" s="22">
        <v>45013</v>
      </c>
      <c r="K112" s="19">
        <v>210</v>
      </c>
      <c r="L112" s="28">
        <v>6629049.9699999997</v>
      </c>
      <c r="M112" s="22">
        <f t="shared" si="4"/>
        <v>45223</v>
      </c>
      <c r="N112" s="19">
        <f>'[1]1º TRIMESTRE'!N113</f>
        <v>0</v>
      </c>
      <c r="O112" s="21">
        <f>'[1]1º TRIMESTRE'!O113</f>
        <v>0</v>
      </c>
      <c r="P112" s="21">
        <f>'[1]1º TRIMESTRE'!P113</f>
        <v>0</v>
      </c>
      <c r="Q112" s="19" t="s">
        <v>51</v>
      </c>
      <c r="R112" s="21">
        <f>'[1]1º TRIMESTRE'!R113+1150599.16</f>
        <v>1150599.1599999999</v>
      </c>
      <c r="S112" s="21">
        <v>664520.81000000006</v>
      </c>
      <c r="T112" s="21">
        <f>'[1]1º TRIMESTRE'!T113+S112</f>
        <v>664520.81000000006</v>
      </c>
      <c r="U112" s="21">
        <f>'[1]1º TRIMESTRE'!U113+S112</f>
        <v>664520.81000000006</v>
      </c>
      <c r="V112" s="23" t="s">
        <v>37</v>
      </c>
      <c r="W112" s="24">
        <f t="shared" si="5"/>
        <v>-486078.34999999986</v>
      </c>
      <c r="X112" s="24"/>
      <c r="Y112" s="24">
        <f t="shared" si="6"/>
        <v>-486078.34999999986</v>
      </c>
      <c r="Z112" s="25" t="str">
        <f t="shared" si="7"/>
        <v>and</v>
      </c>
    </row>
    <row r="113" spans="1:26" ht="33.75">
      <c r="A113" s="18" t="s">
        <v>47</v>
      </c>
      <c r="B113" s="18" t="s">
        <v>52</v>
      </c>
      <c r="C113" s="19" t="s">
        <v>35</v>
      </c>
      <c r="D113" s="20" t="s">
        <v>36</v>
      </c>
      <c r="E113" s="21"/>
      <c r="F113" s="21"/>
      <c r="G113" s="18" t="s">
        <v>53</v>
      </c>
      <c r="H113" s="18" t="s">
        <v>54</v>
      </c>
      <c r="I113" s="19" t="str">
        <f>'[1]1º TRIMESTRE'!I114</f>
        <v>6-019/23</v>
      </c>
      <c r="J113" s="22">
        <v>45013</v>
      </c>
      <c r="K113" s="19">
        <v>210</v>
      </c>
      <c r="L113" s="28">
        <v>8475019.2100000009</v>
      </c>
      <c r="M113" s="22">
        <f t="shared" si="4"/>
        <v>45223</v>
      </c>
      <c r="N113" s="19">
        <f>'[1]1º TRIMESTRE'!N114</f>
        <v>0</v>
      </c>
      <c r="O113" s="21">
        <f>'[1]1º TRIMESTRE'!O114</f>
        <v>0</v>
      </c>
      <c r="P113" s="21">
        <f>'[1]1º TRIMESTRE'!P114</f>
        <v>0</v>
      </c>
      <c r="Q113" s="19" t="s">
        <v>51</v>
      </c>
      <c r="R113" s="21">
        <f>'[1]1º TRIMESTRE'!R114+1363808.6</f>
        <v>1363808.6</v>
      </c>
      <c r="S113" s="21">
        <v>691579.88</v>
      </c>
      <c r="T113" s="21">
        <f>'[1]1º TRIMESTRE'!T114+S113</f>
        <v>691579.88</v>
      </c>
      <c r="U113" s="21">
        <f>'[1]1º TRIMESTRE'!U114+S113</f>
        <v>691579.88</v>
      </c>
      <c r="V113" s="23" t="s">
        <v>37</v>
      </c>
      <c r="W113" s="24">
        <f t="shared" si="5"/>
        <v>-672228.72000000009</v>
      </c>
      <c r="X113" s="24">
        <f>446445.47+225783.25</f>
        <v>672228.72</v>
      </c>
      <c r="Y113" s="24">
        <f t="shared" si="6"/>
        <v>0</v>
      </c>
      <c r="Z113" s="25" t="str">
        <f t="shared" si="7"/>
        <v>and</v>
      </c>
    </row>
    <row r="114" spans="1:26" ht="33.75">
      <c r="A114" s="18" t="s">
        <v>47</v>
      </c>
      <c r="B114" s="18" t="s">
        <v>55</v>
      </c>
      <c r="C114" s="19" t="s">
        <v>35</v>
      </c>
      <c r="D114" s="20" t="s">
        <v>36</v>
      </c>
      <c r="E114" s="21"/>
      <c r="F114" s="21"/>
      <c r="G114" s="18" t="s">
        <v>56</v>
      </c>
      <c r="H114" s="18" t="s">
        <v>57</v>
      </c>
      <c r="I114" s="19" t="str">
        <f>'[1]1º TRIMESTRE'!I115</f>
        <v>6-020/23</v>
      </c>
      <c r="J114" s="22">
        <v>45012</v>
      </c>
      <c r="K114" s="19">
        <v>210</v>
      </c>
      <c r="L114" s="28">
        <v>9520808.8000000007</v>
      </c>
      <c r="M114" s="22">
        <f t="shared" si="4"/>
        <v>45222</v>
      </c>
      <c r="N114" s="19">
        <f>'[1]1º TRIMESTRE'!N115</f>
        <v>0</v>
      </c>
      <c r="O114" s="21">
        <f>'[1]1º TRIMESTRE'!O115</f>
        <v>0</v>
      </c>
      <c r="P114" s="21">
        <f>'[1]1º TRIMESTRE'!P115</f>
        <v>0</v>
      </c>
      <c r="Q114" s="19" t="s">
        <v>51</v>
      </c>
      <c r="R114" s="21">
        <f>'[1]1º TRIMESTRE'!R115+965389.48</f>
        <v>965389.48</v>
      </c>
      <c r="S114" s="21">
        <v>965389.48</v>
      </c>
      <c r="T114" s="21">
        <f>'[1]1º TRIMESTRE'!T115+S114</f>
        <v>965389.48</v>
      </c>
      <c r="U114" s="21">
        <f>'[1]1º TRIMESTRE'!U115+S114</f>
        <v>965389.48</v>
      </c>
      <c r="V114" s="23" t="s">
        <v>37</v>
      </c>
      <c r="W114" s="24">
        <f t="shared" si="5"/>
        <v>0</v>
      </c>
      <c r="X114" s="24"/>
      <c r="Y114" s="24">
        <f t="shared" si="6"/>
        <v>0</v>
      </c>
      <c r="Z114" s="25" t="str">
        <f t="shared" si="7"/>
        <v>and</v>
      </c>
    </row>
    <row r="115" spans="1:26" ht="22.5">
      <c r="A115" s="18" t="s">
        <v>58</v>
      </c>
      <c r="B115" s="18" t="s">
        <v>59</v>
      </c>
      <c r="C115" s="19"/>
      <c r="D115" s="20"/>
      <c r="E115" s="21"/>
      <c r="F115" s="21"/>
      <c r="G115" s="18" t="s">
        <v>60</v>
      </c>
      <c r="H115" s="18" t="s">
        <v>61</v>
      </c>
      <c r="I115" s="19" t="str">
        <f>'[1]1º TRIMESTRE'!I116</f>
        <v>6-021/23</v>
      </c>
      <c r="J115" s="22">
        <v>45012</v>
      </c>
      <c r="K115" s="19">
        <v>790</v>
      </c>
      <c r="L115" s="28">
        <v>7723888.8499999996</v>
      </c>
      <c r="M115" s="22">
        <f t="shared" si="4"/>
        <v>45802</v>
      </c>
      <c r="N115" s="19">
        <f>'[1]1º TRIMESTRE'!N116</f>
        <v>0</v>
      </c>
      <c r="O115" s="21">
        <f>'[1]1º TRIMESTRE'!O116</f>
        <v>0</v>
      </c>
      <c r="P115" s="21">
        <f>'[1]1º TRIMESTRE'!P116</f>
        <v>0</v>
      </c>
      <c r="Q115" s="19" t="s">
        <v>42</v>
      </c>
      <c r="R115" s="21">
        <f>'[1]1º TRIMESTRE'!R116+1866666.86</f>
        <v>1866666.86</v>
      </c>
      <c r="S115" s="21">
        <v>1129143.98</v>
      </c>
      <c r="T115" s="21">
        <f>'[1]1º TRIMESTRE'!T116+S115</f>
        <v>1129143.98</v>
      </c>
      <c r="U115" s="21">
        <f>'[1]1º TRIMESTRE'!U116+S115</f>
        <v>1129143.98</v>
      </c>
      <c r="V115" s="23" t="s">
        <v>37</v>
      </c>
      <c r="W115" s="24">
        <f t="shared" si="5"/>
        <v>-737522.88000000012</v>
      </c>
      <c r="X115" s="24">
        <v>737522.88</v>
      </c>
      <c r="Y115" s="24">
        <f t="shared" si="6"/>
        <v>0</v>
      </c>
      <c r="Z115" s="25" t="str">
        <f t="shared" si="7"/>
        <v>and</v>
      </c>
    </row>
    <row r="116" spans="1:26" ht="33.75">
      <c r="A116" s="18" t="s">
        <v>62</v>
      </c>
      <c r="B116" s="18" t="s">
        <v>63</v>
      </c>
      <c r="C116" s="19" t="s">
        <v>35</v>
      </c>
      <c r="D116" s="20" t="s">
        <v>36</v>
      </c>
      <c r="E116" s="21"/>
      <c r="F116" s="21"/>
      <c r="G116" s="18" t="s">
        <v>64</v>
      </c>
      <c r="H116" s="18" t="s">
        <v>65</v>
      </c>
      <c r="I116" s="19" t="str">
        <f>'[1]1º TRIMESTRE'!I117</f>
        <v>6-022/23</v>
      </c>
      <c r="J116" s="22">
        <v>45013</v>
      </c>
      <c r="K116" s="19">
        <v>300</v>
      </c>
      <c r="L116" s="28">
        <v>2208415.6800000002</v>
      </c>
      <c r="M116" s="22">
        <f t="shared" si="4"/>
        <v>45313</v>
      </c>
      <c r="N116" s="19">
        <f>'[1]1º TRIMESTRE'!N117</f>
        <v>0</v>
      </c>
      <c r="O116" s="21">
        <f>'[1]1º TRIMESTRE'!O117</f>
        <v>0</v>
      </c>
      <c r="P116" s="21">
        <f>'[1]1º TRIMESTRE'!P117</f>
        <v>0</v>
      </c>
      <c r="Q116" s="19" t="s">
        <v>51</v>
      </c>
      <c r="R116" s="21">
        <f>'[1]1º TRIMESTRE'!R117+519904.37</f>
        <v>519904.37</v>
      </c>
      <c r="S116" s="21">
        <v>519904.37</v>
      </c>
      <c r="T116" s="21">
        <f>'[1]1º TRIMESTRE'!T117+S116</f>
        <v>519904.37</v>
      </c>
      <c r="U116" s="21">
        <f>'[1]1º TRIMESTRE'!U117+S116</f>
        <v>519904.37</v>
      </c>
      <c r="V116" s="23" t="s">
        <v>37</v>
      </c>
      <c r="W116" s="24">
        <f t="shared" si="5"/>
        <v>0</v>
      </c>
      <c r="X116" s="24"/>
      <c r="Y116" s="24">
        <f t="shared" si="6"/>
        <v>0</v>
      </c>
      <c r="Z116" s="25" t="str">
        <f t="shared" si="7"/>
        <v>and</v>
      </c>
    </row>
    <row r="117" spans="1:26" ht="33.75">
      <c r="A117" s="18" t="s">
        <v>66</v>
      </c>
      <c r="B117" s="18" t="s">
        <v>67</v>
      </c>
      <c r="C117" s="19" t="s">
        <v>35</v>
      </c>
      <c r="D117" s="20" t="s">
        <v>36</v>
      </c>
      <c r="E117" s="21"/>
      <c r="F117" s="21"/>
      <c r="G117" s="18" t="s">
        <v>68</v>
      </c>
      <c r="H117" s="18" t="s">
        <v>69</v>
      </c>
      <c r="I117" s="19" t="str">
        <f>'[1]1º TRIMESTRE'!I118</f>
        <v>6-023/23</v>
      </c>
      <c r="J117" s="22">
        <v>45013</v>
      </c>
      <c r="K117" s="19">
        <v>270</v>
      </c>
      <c r="L117" s="28">
        <v>16500029.24</v>
      </c>
      <c r="M117" s="22">
        <f t="shared" si="4"/>
        <v>45283</v>
      </c>
      <c r="N117" s="19">
        <f>'[1]1º TRIMESTRE'!N118</f>
        <v>0</v>
      </c>
      <c r="O117" s="21">
        <f>'[1]1º TRIMESTRE'!O118</f>
        <v>0</v>
      </c>
      <c r="P117" s="21">
        <f>'[1]1º TRIMESTRE'!P118</f>
        <v>0</v>
      </c>
      <c r="Q117" s="19" t="s">
        <v>51</v>
      </c>
      <c r="R117" s="21">
        <f>'[1]1º TRIMESTRE'!R118+3224315.76</f>
        <v>3224315.76</v>
      </c>
      <c r="S117" s="21">
        <v>3224315.76</v>
      </c>
      <c r="T117" s="21">
        <f>'[1]1º TRIMESTRE'!T118+S117</f>
        <v>3224315.76</v>
      </c>
      <c r="U117" s="21">
        <f>'[1]1º TRIMESTRE'!U118+S117</f>
        <v>3224315.76</v>
      </c>
      <c r="V117" s="23" t="s">
        <v>37</v>
      </c>
      <c r="W117" s="24">
        <f t="shared" si="5"/>
        <v>0</v>
      </c>
      <c r="X117" s="24"/>
      <c r="Y117" s="24">
        <f t="shared" si="6"/>
        <v>0</v>
      </c>
      <c r="Z117" s="25" t="str">
        <f t="shared" si="7"/>
        <v>and</v>
      </c>
    </row>
    <row r="118" spans="1:26" ht="33.75">
      <c r="A118" s="18" t="s">
        <v>70</v>
      </c>
      <c r="B118" s="18" t="s">
        <v>71</v>
      </c>
      <c r="C118" s="19"/>
      <c r="D118" s="20"/>
      <c r="E118" s="21"/>
      <c r="F118" s="21"/>
      <c r="G118" s="18" t="s">
        <v>72</v>
      </c>
      <c r="H118" s="18" t="s">
        <v>73</v>
      </c>
      <c r="I118" s="19" t="s">
        <v>74</v>
      </c>
      <c r="J118" s="22"/>
      <c r="K118" s="19">
        <v>790</v>
      </c>
      <c r="L118" s="28">
        <v>21066518.57</v>
      </c>
      <c r="M118" s="22">
        <f t="shared" si="4"/>
        <v>790</v>
      </c>
      <c r="N118" s="19">
        <f>'[1]1º TRIMESTRE'!N119</f>
        <v>0</v>
      </c>
      <c r="O118" s="21">
        <f>'[1]1º TRIMESTRE'!O119</f>
        <v>0</v>
      </c>
      <c r="P118" s="21">
        <f>'[1]1º TRIMESTRE'!P119</f>
        <v>0</v>
      </c>
      <c r="Q118" s="19" t="s">
        <v>42</v>
      </c>
      <c r="R118" s="21">
        <f>'[1]1º TRIMESTRE'!R119</f>
        <v>0</v>
      </c>
      <c r="S118" s="21"/>
      <c r="T118" s="21">
        <f>'[1]1º TRIMESTRE'!T119+S118</f>
        <v>0</v>
      </c>
      <c r="U118" s="21">
        <f>'[1]1º TRIMESTRE'!U119+S118</f>
        <v>0</v>
      </c>
      <c r="V118" s="18" t="s">
        <v>75</v>
      </c>
      <c r="W118" s="24">
        <f t="shared" si="5"/>
        <v>0</v>
      </c>
      <c r="X118" s="24"/>
      <c r="Y118" s="24">
        <f t="shared" si="6"/>
        <v>0</v>
      </c>
      <c r="Z118" s="25" t="str">
        <f t="shared" si="7"/>
        <v>enc</v>
      </c>
    </row>
    <row r="119" spans="1:26" ht="22.5">
      <c r="A119" s="18" t="s">
        <v>76</v>
      </c>
      <c r="B119" s="18" t="s">
        <v>77</v>
      </c>
      <c r="C119" s="19"/>
      <c r="D119" s="20"/>
      <c r="E119" s="21"/>
      <c r="F119" s="21"/>
      <c r="G119" s="18" t="s">
        <v>78</v>
      </c>
      <c r="H119" s="18" t="s">
        <v>79</v>
      </c>
      <c r="I119" s="19" t="s">
        <v>80</v>
      </c>
      <c r="J119" s="22">
        <v>45036</v>
      </c>
      <c r="K119" s="19">
        <v>790</v>
      </c>
      <c r="L119" s="28">
        <v>9610506.0199999996</v>
      </c>
      <c r="M119" s="22">
        <f t="shared" si="4"/>
        <v>45826</v>
      </c>
      <c r="N119" s="19">
        <f>'[1]1º TRIMESTRE'!N120</f>
        <v>0</v>
      </c>
      <c r="O119" s="21">
        <f>'[1]1º TRIMESTRE'!O120</f>
        <v>0</v>
      </c>
      <c r="P119" s="21">
        <f>'[1]1º TRIMESTRE'!P120</f>
        <v>0</v>
      </c>
      <c r="Q119" s="19" t="s">
        <v>42</v>
      </c>
      <c r="R119" s="21">
        <f>'[1]1º TRIMESTRE'!R120+1219631.26</f>
        <v>1219631.26</v>
      </c>
      <c r="S119" s="21">
        <v>699508.85</v>
      </c>
      <c r="T119" s="21">
        <f>'[1]1º TRIMESTRE'!T120+S119</f>
        <v>699508.85</v>
      </c>
      <c r="U119" s="21">
        <f>'[1]1º TRIMESTRE'!U120+S119</f>
        <v>699508.85</v>
      </c>
      <c r="V119" s="23" t="s">
        <v>37</v>
      </c>
      <c r="W119" s="24">
        <f t="shared" si="5"/>
        <v>-520122.41000000003</v>
      </c>
      <c r="X119" s="24">
        <v>520122.41</v>
      </c>
      <c r="Y119" s="24">
        <f t="shared" si="6"/>
        <v>0</v>
      </c>
      <c r="Z119" s="25" t="str">
        <f t="shared" si="7"/>
        <v>and</v>
      </c>
    </row>
    <row r="120" spans="1:26" ht="22.5">
      <c r="A120" s="18" t="s">
        <v>76</v>
      </c>
      <c r="B120" s="18" t="s">
        <v>81</v>
      </c>
      <c r="C120" s="19"/>
      <c r="D120" s="20"/>
      <c r="E120" s="21"/>
      <c r="F120" s="21"/>
      <c r="G120" s="18" t="s">
        <v>82</v>
      </c>
      <c r="H120" s="18" t="s">
        <v>83</v>
      </c>
      <c r="I120" s="19" t="s">
        <v>84</v>
      </c>
      <c r="J120" s="22">
        <v>45036</v>
      </c>
      <c r="K120" s="19">
        <v>790</v>
      </c>
      <c r="L120" s="28">
        <v>15430851.99</v>
      </c>
      <c r="M120" s="22">
        <f t="shared" si="4"/>
        <v>45826</v>
      </c>
      <c r="N120" s="19">
        <f>'[1]1º TRIMESTRE'!N121</f>
        <v>0</v>
      </c>
      <c r="O120" s="21">
        <f>'[1]1º TRIMESTRE'!O121</f>
        <v>0</v>
      </c>
      <c r="P120" s="21">
        <f>'[1]1º TRIMESTRE'!P121</f>
        <v>0</v>
      </c>
      <c r="Q120" s="19" t="s">
        <v>42</v>
      </c>
      <c r="R120" s="21">
        <f>'[1]1º TRIMESTRE'!R121+670041.25</f>
        <v>670041.25</v>
      </c>
      <c r="S120" s="21">
        <v>430404.9</v>
      </c>
      <c r="T120" s="21">
        <f>'[1]1º TRIMESTRE'!T121+S120</f>
        <v>430404.9</v>
      </c>
      <c r="U120" s="21">
        <f>'[1]1º TRIMESTRE'!U121+S120</f>
        <v>430404.9</v>
      </c>
      <c r="V120" s="23" t="s">
        <v>37</v>
      </c>
      <c r="W120" s="24">
        <f t="shared" si="5"/>
        <v>-239636.34999999998</v>
      </c>
      <c r="X120" s="24"/>
      <c r="Y120" s="24">
        <f t="shared" si="6"/>
        <v>-239636.34999999998</v>
      </c>
      <c r="Z120" s="25" t="str">
        <f t="shared" si="7"/>
        <v>and</v>
      </c>
    </row>
    <row r="121" spans="1:26" ht="22.5">
      <c r="A121" s="18" t="s">
        <v>76</v>
      </c>
      <c r="B121" s="18" t="s">
        <v>85</v>
      </c>
      <c r="C121" s="19"/>
      <c r="D121" s="20"/>
      <c r="E121" s="21"/>
      <c r="F121" s="21"/>
      <c r="G121" s="18" t="s">
        <v>60</v>
      </c>
      <c r="H121" s="18" t="s">
        <v>61</v>
      </c>
      <c r="I121" s="19" t="s">
        <v>86</v>
      </c>
      <c r="J121" s="22">
        <v>45069</v>
      </c>
      <c r="K121" s="19">
        <v>790</v>
      </c>
      <c r="L121" s="28">
        <v>12528565.16</v>
      </c>
      <c r="M121" s="22">
        <f t="shared" si="4"/>
        <v>45859</v>
      </c>
      <c r="N121" s="19">
        <f>'[1]1º TRIMESTRE'!N122</f>
        <v>0</v>
      </c>
      <c r="O121" s="21">
        <f>'[1]1º TRIMESTRE'!O122</f>
        <v>0</v>
      </c>
      <c r="P121" s="21">
        <f>'[1]1º TRIMESTRE'!P122</f>
        <v>0</v>
      </c>
      <c r="Q121" s="19" t="s">
        <v>42</v>
      </c>
      <c r="R121" s="21">
        <f>'[1]1º TRIMESTRE'!R122</f>
        <v>0</v>
      </c>
      <c r="S121" s="21"/>
      <c r="T121" s="21">
        <f>'[1]1º TRIMESTRE'!T122+S121</f>
        <v>0</v>
      </c>
      <c r="U121" s="21">
        <f>'[1]1º TRIMESTRE'!U122+S121</f>
        <v>0</v>
      </c>
      <c r="V121" s="23" t="s">
        <v>37</v>
      </c>
      <c r="W121" s="24">
        <f t="shared" si="5"/>
        <v>0</v>
      </c>
      <c r="X121" s="24"/>
      <c r="Y121" s="24">
        <f t="shared" si="6"/>
        <v>0</v>
      </c>
      <c r="Z121" s="25" t="str">
        <f t="shared" si="7"/>
        <v>and</v>
      </c>
    </row>
    <row r="122" spans="1:26" ht="33.75">
      <c r="A122" s="18" t="s">
        <v>87</v>
      </c>
      <c r="B122" s="18" t="s">
        <v>88</v>
      </c>
      <c r="C122" s="19"/>
      <c r="D122" s="20"/>
      <c r="E122" s="21"/>
      <c r="F122" s="21"/>
      <c r="G122" s="18" t="s">
        <v>89</v>
      </c>
      <c r="H122" s="18" t="s">
        <v>90</v>
      </c>
      <c r="I122" s="19" t="s">
        <v>91</v>
      </c>
      <c r="J122" s="22">
        <v>45030</v>
      </c>
      <c r="K122" s="19">
        <v>180</v>
      </c>
      <c r="L122" s="28">
        <v>8668714.6799999997</v>
      </c>
      <c r="M122" s="22">
        <f t="shared" si="4"/>
        <v>45210</v>
      </c>
      <c r="N122" s="19">
        <f>'[1]1º TRIMESTRE'!N123</f>
        <v>0</v>
      </c>
      <c r="O122" s="21">
        <f>'[1]1º TRIMESTRE'!O123</f>
        <v>0</v>
      </c>
      <c r="P122" s="21">
        <f>'[1]1º TRIMESTRE'!P123+678547.04</f>
        <v>678547.04</v>
      </c>
      <c r="Q122" s="19" t="s">
        <v>42</v>
      </c>
      <c r="R122" s="21">
        <f>'[1]1º TRIMESTRE'!R123+606034.47</f>
        <v>606034.47</v>
      </c>
      <c r="S122" s="21">
        <v>109169.3</v>
      </c>
      <c r="T122" s="21">
        <f>'[1]1º TRIMESTRE'!T123+S122</f>
        <v>109169.3</v>
      </c>
      <c r="U122" s="21">
        <f>'[1]1º TRIMESTRE'!U123+S122</f>
        <v>109169.3</v>
      </c>
      <c r="V122" s="23" t="s">
        <v>37</v>
      </c>
      <c r="W122" s="24">
        <f t="shared" si="5"/>
        <v>-496865.17</v>
      </c>
      <c r="X122" s="24">
        <v>496865.17</v>
      </c>
      <c r="Y122" s="24">
        <f t="shared" si="6"/>
        <v>0</v>
      </c>
      <c r="Z122" s="25" t="str">
        <f t="shared" si="7"/>
        <v>and</v>
      </c>
    </row>
    <row r="123" spans="1:26" ht="33.75">
      <c r="A123" s="18" t="s">
        <v>92</v>
      </c>
      <c r="B123" s="18" t="s">
        <v>93</v>
      </c>
      <c r="C123" s="19" t="s">
        <v>35</v>
      </c>
      <c r="D123" s="20" t="s">
        <v>36</v>
      </c>
      <c r="E123" s="21"/>
      <c r="F123" s="21"/>
      <c r="G123" s="18" t="s">
        <v>94</v>
      </c>
      <c r="H123" s="18" t="s">
        <v>95</v>
      </c>
      <c r="I123" s="19" t="s">
        <v>96</v>
      </c>
      <c r="J123" s="22">
        <v>45048</v>
      </c>
      <c r="K123" s="19">
        <v>210</v>
      </c>
      <c r="L123" s="28">
        <v>476900</v>
      </c>
      <c r="M123" s="22">
        <f t="shared" si="4"/>
        <v>45258</v>
      </c>
      <c r="N123" s="19">
        <f>'[1]1º TRIMESTRE'!N124</f>
        <v>0</v>
      </c>
      <c r="O123" s="21">
        <f>'[1]1º TRIMESTRE'!O124</f>
        <v>0</v>
      </c>
      <c r="P123" s="21">
        <f>'[1]1º TRIMESTRE'!P124</f>
        <v>0</v>
      </c>
      <c r="Q123" s="19" t="s">
        <v>51</v>
      </c>
      <c r="R123" s="21">
        <f>'[1]1º TRIMESTRE'!R124</f>
        <v>0</v>
      </c>
      <c r="S123" s="21"/>
      <c r="T123" s="21">
        <f>'[1]1º TRIMESTRE'!T124+S123</f>
        <v>0</v>
      </c>
      <c r="U123" s="21">
        <f>'[1]1º TRIMESTRE'!U124+S123</f>
        <v>0</v>
      </c>
      <c r="V123" s="23" t="s">
        <v>37</v>
      </c>
      <c r="W123" s="24">
        <f t="shared" si="5"/>
        <v>0</v>
      </c>
      <c r="X123" s="24"/>
      <c r="Y123" s="24">
        <f t="shared" si="6"/>
        <v>0</v>
      </c>
      <c r="Z123" s="25" t="str">
        <f t="shared" si="7"/>
        <v>and</v>
      </c>
    </row>
    <row r="124" spans="1:26" ht="45">
      <c r="A124" s="18" t="s">
        <v>97</v>
      </c>
      <c r="B124" s="18" t="s">
        <v>98</v>
      </c>
      <c r="C124" s="19"/>
      <c r="D124" s="20"/>
      <c r="E124" s="21"/>
      <c r="F124" s="21"/>
      <c r="G124" s="18" t="s">
        <v>99</v>
      </c>
      <c r="H124" s="18" t="s">
        <v>100</v>
      </c>
      <c r="I124" s="19" t="s">
        <v>101</v>
      </c>
      <c r="J124" s="22">
        <v>45048</v>
      </c>
      <c r="K124" s="19">
        <v>90</v>
      </c>
      <c r="L124" s="28">
        <v>56220</v>
      </c>
      <c r="M124" s="22">
        <f t="shared" si="4"/>
        <v>45138</v>
      </c>
      <c r="N124" s="19">
        <f>'[1]1º TRIMESTRE'!N125</f>
        <v>0</v>
      </c>
      <c r="O124" s="21">
        <f>'[1]1º TRIMESTRE'!O125</f>
        <v>0</v>
      </c>
      <c r="P124" s="21">
        <f>'[1]1º TRIMESTRE'!P125</f>
        <v>0</v>
      </c>
      <c r="Q124" s="19" t="s">
        <v>42</v>
      </c>
      <c r="R124" s="21">
        <f>'[1]1º TRIMESTRE'!R125</f>
        <v>0</v>
      </c>
      <c r="S124" s="21"/>
      <c r="T124" s="21">
        <f>'[1]1º TRIMESTRE'!T125+S124</f>
        <v>0</v>
      </c>
      <c r="U124" s="21">
        <f>'[1]1º TRIMESTRE'!U125+S124</f>
        <v>0</v>
      </c>
      <c r="V124" s="23" t="s">
        <v>37</v>
      </c>
      <c r="W124" s="24">
        <f t="shared" si="5"/>
        <v>0</v>
      </c>
      <c r="X124" s="24"/>
      <c r="Y124" s="24">
        <f t="shared" si="6"/>
        <v>0</v>
      </c>
      <c r="Z124" s="25" t="str">
        <f t="shared" si="7"/>
        <v>and</v>
      </c>
    </row>
    <row r="125" spans="1:26" ht="22.5">
      <c r="A125" s="18" t="s">
        <v>102</v>
      </c>
      <c r="B125" s="18" t="s">
        <v>103</v>
      </c>
      <c r="C125" s="19" t="s">
        <v>35</v>
      </c>
      <c r="D125" s="20" t="s">
        <v>36</v>
      </c>
      <c r="E125" s="21"/>
      <c r="F125" s="21"/>
      <c r="G125" s="18" t="s">
        <v>94</v>
      </c>
      <c r="H125" s="18" t="s">
        <v>95</v>
      </c>
      <c r="I125" s="19" t="s">
        <v>104</v>
      </c>
      <c r="J125" s="22">
        <v>45051</v>
      </c>
      <c r="K125" s="19">
        <v>120</v>
      </c>
      <c r="L125" s="28">
        <v>631034.78</v>
      </c>
      <c r="M125" s="22">
        <f t="shared" si="4"/>
        <v>45171</v>
      </c>
      <c r="N125" s="19">
        <f>'[1]1º TRIMESTRE'!N126</f>
        <v>0</v>
      </c>
      <c r="O125" s="21">
        <f>'[1]1º TRIMESTRE'!O126</f>
        <v>0</v>
      </c>
      <c r="P125" s="21">
        <f>'[1]1º TRIMESTRE'!P126</f>
        <v>0</v>
      </c>
      <c r="Q125" s="19" t="s">
        <v>51</v>
      </c>
      <c r="R125" s="21">
        <f>'[1]1º TRIMESTRE'!R126</f>
        <v>0</v>
      </c>
      <c r="S125" s="21"/>
      <c r="T125" s="21">
        <f>'[1]1º TRIMESTRE'!T126+S125</f>
        <v>0</v>
      </c>
      <c r="U125" s="21">
        <f>'[1]1º TRIMESTRE'!U126+S125</f>
        <v>0</v>
      </c>
      <c r="V125" s="23" t="s">
        <v>37</v>
      </c>
      <c r="W125" s="24">
        <f t="shared" si="5"/>
        <v>0</v>
      </c>
      <c r="X125" s="24"/>
      <c r="Y125" s="24">
        <f t="shared" si="6"/>
        <v>0</v>
      </c>
      <c r="Z125" s="25" t="str">
        <f t="shared" si="7"/>
        <v>and</v>
      </c>
    </row>
    <row r="126" spans="1:26" ht="33.75">
      <c r="A126" s="18" t="s">
        <v>105</v>
      </c>
      <c r="B126" s="18" t="s">
        <v>106</v>
      </c>
      <c r="C126" s="19"/>
      <c r="D126" s="20"/>
      <c r="E126" s="21"/>
      <c r="F126" s="21"/>
      <c r="G126" s="18" t="s">
        <v>107</v>
      </c>
      <c r="H126" s="18" t="s">
        <v>108</v>
      </c>
      <c r="I126" s="19" t="s">
        <v>109</v>
      </c>
      <c r="J126" s="22">
        <v>45065</v>
      </c>
      <c r="K126" s="19">
        <v>790</v>
      </c>
      <c r="L126" s="28">
        <v>6928531.4000000004</v>
      </c>
      <c r="M126" s="22">
        <f t="shared" si="4"/>
        <v>45855</v>
      </c>
      <c r="N126" s="19">
        <f>'[1]1º TRIMESTRE'!N127</f>
        <v>0</v>
      </c>
      <c r="O126" s="21">
        <f>'[1]1º TRIMESTRE'!O127</f>
        <v>0</v>
      </c>
      <c r="P126" s="21">
        <f>'[1]1º TRIMESTRE'!P127</f>
        <v>0</v>
      </c>
      <c r="Q126" s="19" t="s">
        <v>42</v>
      </c>
      <c r="R126" s="21">
        <f>'[1]1º TRIMESTRE'!R127</f>
        <v>0</v>
      </c>
      <c r="S126" s="21">
        <v>0</v>
      </c>
      <c r="T126" s="21">
        <f>'[1]1º TRIMESTRE'!T127+S126</f>
        <v>0</v>
      </c>
      <c r="U126" s="21">
        <f>'[1]1º TRIMESTRE'!U127+S126</f>
        <v>0</v>
      </c>
      <c r="V126" s="23" t="s">
        <v>37</v>
      </c>
      <c r="W126" s="24">
        <f t="shared" si="5"/>
        <v>0</v>
      </c>
      <c r="X126" s="24"/>
      <c r="Y126" s="24">
        <f t="shared" si="6"/>
        <v>0</v>
      </c>
      <c r="Z126" s="25" t="str">
        <f t="shared" si="7"/>
        <v>and</v>
      </c>
    </row>
    <row r="127" spans="1:26" ht="22.5">
      <c r="A127" s="18" t="s">
        <v>110</v>
      </c>
      <c r="B127" s="18" t="s">
        <v>111</v>
      </c>
      <c r="C127" s="19"/>
      <c r="D127" s="20"/>
      <c r="E127" s="21"/>
      <c r="F127" s="21"/>
      <c r="G127" s="18" t="s">
        <v>112</v>
      </c>
      <c r="H127" s="18" t="s">
        <v>113</v>
      </c>
      <c r="I127" s="19" t="s">
        <v>114</v>
      </c>
      <c r="J127" s="22">
        <v>45078</v>
      </c>
      <c r="K127" s="19">
        <v>760</v>
      </c>
      <c r="L127" s="28">
        <v>17399999.920000002</v>
      </c>
      <c r="M127" s="22">
        <f t="shared" si="4"/>
        <v>45838</v>
      </c>
      <c r="N127" s="19">
        <f>'[1]1º TRIMESTRE'!N128</f>
        <v>0</v>
      </c>
      <c r="O127" s="21">
        <f>'[1]1º TRIMESTRE'!O128</f>
        <v>0</v>
      </c>
      <c r="P127" s="21">
        <f>'[1]1º TRIMESTRE'!P128</f>
        <v>0</v>
      </c>
      <c r="Q127" s="19" t="s">
        <v>42</v>
      </c>
      <c r="R127" s="21">
        <f>'[1]1º TRIMESTRE'!R128</f>
        <v>0</v>
      </c>
      <c r="S127" s="21"/>
      <c r="T127" s="21">
        <f>'[1]1º TRIMESTRE'!T128+S127</f>
        <v>0</v>
      </c>
      <c r="U127" s="21">
        <f>'[1]1º TRIMESTRE'!U128+S127</f>
        <v>0</v>
      </c>
      <c r="V127" s="23" t="s">
        <v>37</v>
      </c>
      <c r="W127" s="24">
        <f t="shared" si="5"/>
        <v>0</v>
      </c>
      <c r="X127" s="24"/>
      <c r="Y127" s="24">
        <f t="shared" si="6"/>
        <v>0</v>
      </c>
      <c r="Z127" s="25" t="str">
        <f t="shared" si="7"/>
        <v>and</v>
      </c>
    </row>
    <row r="128" spans="1:26" ht="22.5">
      <c r="A128" s="18" t="s">
        <v>115</v>
      </c>
      <c r="B128" s="18" t="s">
        <v>116</v>
      </c>
      <c r="C128" s="19"/>
      <c r="D128" s="20"/>
      <c r="E128" s="21"/>
      <c r="F128" s="21"/>
      <c r="G128" s="18" t="s">
        <v>117</v>
      </c>
      <c r="H128" s="18" t="s">
        <v>118</v>
      </c>
      <c r="I128" s="19" t="s">
        <v>119</v>
      </c>
      <c r="J128" s="22">
        <v>45104</v>
      </c>
      <c r="K128" s="19">
        <v>210</v>
      </c>
      <c r="L128" s="28">
        <v>3970705.84</v>
      </c>
      <c r="M128" s="22">
        <f t="shared" si="4"/>
        <v>45314</v>
      </c>
      <c r="N128" s="19">
        <f>'[1]1º TRIMESTRE'!N129</f>
        <v>0</v>
      </c>
      <c r="O128" s="21">
        <f>'[1]1º TRIMESTRE'!O129</f>
        <v>0</v>
      </c>
      <c r="P128" s="21">
        <f>'[1]1º TRIMESTRE'!P129</f>
        <v>0</v>
      </c>
      <c r="Q128" s="19" t="s">
        <v>51</v>
      </c>
      <c r="R128" s="21">
        <f>'[1]1º TRIMESTRE'!R129</f>
        <v>0</v>
      </c>
      <c r="S128" s="21"/>
      <c r="T128" s="21">
        <f>'[1]1º TRIMESTRE'!T129+S128</f>
        <v>0</v>
      </c>
      <c r="U128" s="21">
        <f>'[1]1º TRIMESTRE'!U129+S128</f>
        <v>0</v>
      </c>
      <c r="V128" s="23" t="s">
        <v>37</v>
      </c>
      <c r="W128" s="24">
        <f t="shared" si="5"/>
        <v>0</v>
      </c>
      <c r="X128" s="24"/>
      <c r="Y128" s="24">
        <f t="shared" si="6"/>
        <v>0</v>
      </c>
      <c r="Z128" s="25" t="str">
        <f t="shared" si="7"/>
        <v>and</v>
      </c>
    </row>
    <row r="129" spans="1:26" ht="22.5">
      <c r="A129" s="18" t="s">
        <v>115</v>
      </c>
      <c r="B129" s="18" t="s">
        <v>120</v>
      </c>
      <c r="C129" s="19"/>
      <c r="D129" s="20"/>
      <c r="E129" s="21"/>
      <c r="F129" s="21"/>
      <c r="G129" s="18" t="s">
        <v>117</v>
      </c>
      <c r="H129" s="18" t="s">
        <v>118</v>
      </c>
      <c r="I129" s="19" t="s">
        <v>121</v>
      </c>
      <c r="J129" s="22">
        <v>45104</v>
      </c>
      <c r="K129" s="19">
        <v>210</v>
      </c>
      <c r="L129" s="28">
        <v>663682.94999999995</v>
      </c>
      <c r="M129" s="22">
        <f t="shared" si="4"/>
        <v>45314</v>
      </c>
      <c r="N129" s="19">
        <f>'[1]1º TRIMESTRE'!N130</f>
        <v>0</v>
      </c>
      <c r="O129" s="21">
        <f>'[1]1º TRIMESTRE'!O130</f>
        <v>0</v>
      </c>
      <c r="P129" s="21">
        <f>'[1]1º TRIMESTRE'!P130</f>
        <v>0</v>
      </c>
      <c r="Q129" s="19" t="s">
        <v>51</v>
      </c>
      <c r="R129" s="21">
        <f>'[1]1º TRIMESTRE'!R130</f>
        <v>0</v>
      </c>
      <c r="S129" s="21"/>
      <c r="T129" s="21">
        <f>'[1]1º TRIMESTRE'!T130+S129</f>
        <v>0</v>
      </c>
      <c r="U129" s="21">
        <f>'[1]1º TRIMESTRE'!U130+S129</f>
        <v>0</v>
      </c>
      <c r="V129" s="23" t="s">
        <v>37</v>
      </c>
      <c r="W129" s="24">
        <f t="shared" si="5"/>
        <v>0</v>
      </c>
      <c r="X129" s="24"/>
      <c r="Y129" s="24">
        <f t="shared" si="6"/>
        <v>0</v>
      </c>
      <c r="Z129" s="25" t="str">
        <f t="shared" si="7"/>
        <v>and</v>
      </c>
    </row>
    <row r="130" spans="1:26" ht="22.5">
      <c r="A130" s="18" t="s">
        <v>122</v>
      </c>
      <c r="B130" s="18" t="s">
        <v>123</v>
      </c>
      <c r="C130" s="19" t="s">
        <v>35</v>
      </c>
      <c r="D130" s="20" t="s">
        <v>36</v>
      </c>
      <c r="E130" s="21"/>
      <c r="F130" s="21"/>
      <c r="G130" s="18" t="s">
        <v>64</v>
      </c>
      <c r="H130" s="18" t="s">
        <v>65</v>
      </c>
      <c r="I130" s="19" t="s">
        <v>124</v>
      </c>
      <c r="J130" s="22">
        <v>45093</v>
      </c>
      <c r="K130" s="19">
        <v>240</v>
      </c>
      <c r="L130" s="28">
        <v>6119883.9699999997</v>
      </c>
      <c r="M130" s="22">
        <f t="shared" si="4"/>
        <v>45333</v>
      </c>
      <c r="N130" s="19">
        <f>'[1]1º TRIMESTRE'!N131</f>
        <v>0</v>
      </c>
      <c r="O130" s="21">
        <f>'[1]1º TRIMESTRE'!O131</f>
        <v>0</v>
      </c>
      <c r="P130" s="21">
        <f>'[1]1º TRIMESTRE'!P131</f>
        <v>0</v>
      </c>
      <c r="Q130" s="19" t="s">
        <v>51</v>
      </c>
      <c r="R130" s="21">
        <f>'[1]1º TRIMESTRE'!R131</f>
        <v>0</v>
      </c>
      <c r="S130" s="21"/>
      <c r="T130" s="21">
        <f>'[1]1º TRIMESTRE'!T131+S130</f>
        <v>0</v>
      </c>
      <c r="U130" s="21">
        <f>'[1]1º TRIMESTRE'!U131+S130</f>
        <v>0</v>
      </c>
      <c r="V130" s="23" t="s">
        <v>37</v>
      </c>
      <c r="W130" s="24">
        <f t="shared" si="5"/>
        <v>0</v>
      </c>
      <c r="X130" s="24"/>
      <c r="Y130" s="24">
        <f t="shared" si="6"/>
        <v>0</v>
      </c>
      <c r="Z130" s="25" t="str">
        <f t="shared" si="7"/>
        <v>and</v>
      </c>
    </row>
    <row r="131" spans="1:26" ht="22.5">
      <c r="A131" s="18" t="s">
        <v>125</v>
      </c>
      <c r="B131" s="18" t="s">
        <v>126</v>
      </c>
      <c r="C131" s="19"/>
      <c r="D131" s="20"/>
      <c r="E131" s="21"/>
      <c r="F131" s="21"/>
      <c r="G131" s="18" t="s">
        <v>60</v>
      </c>
      <c r="H131" s="18" t="s">
        <v>61</v>
      </c>
      <c r="I131" s="19" t="s">
        <v>127</v>
      </c>
      <c r="J131" s="22">
        <v>45092</v>
      </c>
      <c r="K131" s="19">
        <v>1125</v>
      </c>
      <c r="L131" s="28">
        <v>29948485.25</v>
      </c>
      <c r="M131" s="22">
        <f t="shared" si="4"/>
        <v>46217</v>
      </c>
      <c r="N131" s="19">
        <f>'[1]1º TRIMESTRE'!N132</f>
        <v>0</v>
      </c>
      <c r="O131" s="21">
        <f>'[1]1º TRIMESTRE'!O132</f>
        <v>0</v>
      </c>
      <c r="P131" s="21">
        <f>'[1]1º TRIMESTRE'!P132</f>
        <v>0</v>
      </c>
      <c r="Q131" s="19" t="s">
        <v>42</v>
      </c>
      <c r="R131" s="21">
        <f>'[1]1º TRIMESTRE'!R132</f>
        <v>0</v>
      </c>
      <c r="S131" s="21"/>
      <c r="T131" s="21">
        <f>'[1]1º TRIMESTRE'!T132+S131</f>
        <v>0</v>
      </c>
      <c r="U131" s="21">
        <f>'[1]1º TRIMESTRE'!U132+S131</f>
        <v>0</v>
      </c>
      <c r="V131" s="23" t="s">
        <v>37</v>
      </c>
      <c r="W131" s="24">
        <f t="shared" si="5"/>
        <v>0</v>
      </c>
      <c r="X131" s="24"/>
      <c r="Y131" s="24">
        <f t="shared" si="6"/>
        <v>0</v>
      </c>
      <c r="Z131" s="25" t="str">
        <f t="shared" si="7"/>
        <v>and</v>
      </c>
    </row>
    <row r="132" spans="1:26" ht="22.5">
      <c r="A132" s="18" t="s">
        <v>125</v>
      </c>
      <c r="B132" s="18" t="s">
        <v>128</v>
      </c>
      <c r="C132" s="19"/>
      <c r="D132" s="20"/>
      <c r="E132" s="21"/>
      <c r="F132" s="21"/>
      <c r="G132" s="18" t="s">
        <v>82</v>
      </c>
      <c r="H132" s="18" t="s">
        <v>83</v>
      </c>
      <c r="I132" s="19" t="s">
        <v>129</v>
      </c>
      <c r="J132" s="22">
        <v>45092</v>
      </c>
      <c r="K132" s="19">
        <v>1125</v>
      </c>
      <c r="L132" s="28">
        <v>36023180.299999997</v>
      </c>
      <c r="M132" s="22">
        <f t="shared" si="4"/>
        <v>46217</v>
      </c>
      <c r="N132" s="19">
        <f>'[1]1º TRIMESTRE'!N133</f>
        <v>0</v>
      </c>
      <c r="O132" s="21">
        <f>'[1]1º TRIMESTRE'!O133</f>
        <v>0</v>
      </c>
      <c r="P132" s="21">
        <f>'[1]1º TRIMESTRE'!P133</f>
        <v>0</v>
      </c>
      <c r="Q132" s="19" t="s">
        <v>42</v>
      </c>
      <c r="R132" s="21">
        <f>'[1]1º TRIMESTRE'!R133</f>
        <v>0</v>
      </c>
      <c r="S132" s="21"/>
      <c r="T132" s="21">
        <f>'[1]1º TRIMESTRE'!T133+S132</f>
        <v>0</v>
      </c>
      <c r="U132" s="21">
        <f>'[1]1º TRIMESTRE'!U133+S132</f>
        <v>0</v>
      </c>
      <c r="V132" s="23" t="s">
        <v>37</v>
      </c>
      <c r="W132" s="24">
        <f t="shared" si="5"/>
        <v>0</v>
      </c>
      <c r="X132" s="24"/>
      <c r="Y132" s="24">
        <f t="shared" si="6"/>
        <v>0</v>
      </c>
      <c r="Z132" s="25" t="str">
        <f t="shared" si="7"/>
        <v>and</v>
      </c>
    </row>
    <row r="133" spans="1:26" ht="45">
      <c r="A133" s="18" t="s">
        <v>105</v>
      </c>
      <c r="B133" s="18" t="s">
        <v>130</v>
      </c>
      <c r="C133" s="19"/>
      <c r="D133" s="20"/>
      <c r="E133" s="21"/>
      <c r="F133" s="21"/>
      <c r="G133" s="18" t="s">
        <v>131</v>
      </c>
      <c r="H133" s="18" t="s">
        <v>132</v>
      </c>
      <c r="I133" s="19" t="s">
        <v>133</v>
      </c>
      <c r="J133" s="22">
        <v>45091</v>
      </c>
      <c r="K133" s="19">
        <v>760</v>
      </c>
      <c r="L133" s="28">
        <v>7947298.9000000004</v>
      </c>
      <c r="M133" s="22">
        <f t="shared" si="4"/>
        <v>45851</v>
      </c>
      <c r="N133" s="19">
        <f>'[1]1º TRIMESTRE'!N134</f>
        <v>0</v>
      </c>
      <c r="O133" s="21">
        <f>'[1]1º TRIMESTRE'!O134</f>
        <v>0</v>
      </c>
      <c r="P133" s="21">
        <f>'[1]1º TRIMESTRE'!P134</f>
        <v>0</v>
      </c>
      <c r="Q133" s="19" t="s">
        <v>42</v>
      </c>
      <c r="R133" s="21">
        <f>'[1]1º TRIMESTRE'!R134</f>
        <v>0</v>
      </c>
      <c r="S133" s="21"/>
      <c r="T133" s="21">
        <f>'[1]1º TRIMESTRE'!T134+S133</f>
        <v>0</v>
      </c>
      <c r="U133" s="21">
        <f>'[1]1º TRIMESTRE'!U134+S133</f>
        <v>0</v>
      </c>
      <c r="V133" s="23" t="s">
        <v>37</v>
      </c>
      <c r="W133" s="24">
        <f t="shared" si="5"/>
        <v>0</v>
      </c>
      <c r="X133" s="24"/>
      <c r="Y133" s="24">
        <f t="shared" si="6"/>
        <v>0</v>
      </c>
      <c r="Z133" s="25" t="str">
        <f t="shared" si="7"/>
        <v>and</v>
      </c>
    </row>
    <row r="134" spans="1:26" ht="45">
      <c r="A134" s="18" t="s">
        <v>105</v>
      </c>
      <c r="B134" s="18" t="s">
        <v>134</v>
      </c>
      <c r="C134" s="19"/>
      <c r="D134" s="20"/>
      <c r="E134" s="21"/>
      <c r="F134" s="21"/>
      <c r="G134" s="18" t="s">
        <v>131</v>
      </c>
      <c r="H134" s="18" t="s">
        <v>132</v>
      </c>
      <c r="I134" s="19" t="s">
        <v>135</v>
      </c>
      <c r="J134" s="22">
        <v>45091</v>
      </c>
      <c r="K134" s="19">
        <v>760</v>
      </c>
      <c r="L134" s="28">
        <v>7782286.4199999999</v>
      </c>
      <c r="M134" s="22">
        <f t="shared" si="4"/>
        <v>45851</v>
      </c>
      <c r="N134" s="19">
        <f>'[1]1º TRIMESTRE'!N135</f>
        <v>0</v>
      </c>
      <c r="O134" s="21">
        <f>'[1]1º TRIMESTRE'!O135</f>
        <v>0</v>
      </c>
      <c r="P134" s="21">
        <f>'[1]1º TRIMESTRE'!P135</f>
        <v>0</v>
      </c>
      <c r="Q134" s="19" t="s">
        <v>42</v>
      </c>
      <c r="R134" s="21">
        <f>'[1]1º TRIMESTRE'!R135</f>
        <v>0</v>
      </c>
      <c r="S134" s="21"/>
      <c r="T134" s="21">
        <f>'[1]1º TRIMESTRE'!T135+S134</f>
        <v>0</v>
      </c>
      <c r="U134" s="21">
        <f>'[1]1º TRIMESTRE'!U135+S134</f>
        <v>0</v>
      </c>
      <c r="V134" s="23" t="s">
        <v>37</v>
      </c>
      <c r="W134" s="24">
        <f t="shared" si="5"/>
        <v>0</v>
      </c>
      <c r="X134" s="24"/>
      <c r="Y134" s="24">
        <f t="shared" si="6"/>
        <v>0</v>
      </c>
      <c r="Z134" s="25" t="str">
        <f t="shared" si="7"/>
        <v>and</v>
      </c>
    </row>
    <row r="135" spans="1:26" ht="45">
      <c r="A135" s="18" t="s">
        <v>136</v>
      </c>
      <c r="B135" s="18" t="s">
        <v>137</v>
      </c>
      <c r="C135" s="19" t="s">
        <v>138</v>
      </c>
      <c r="D135" s="20" t="s">
        <v>139</v>
      </c>
      <c r="E135" s="21"/>
      <c r="F135" s="21"/>
      <c r="G135" s="18" t="s">
        <v>64</v>
      </c>
      <c r="H135" s="18" t="s">
        <v>65</v>
      </c>
      <c r="I135" s="19" t="s">
        <v>140</v>
      </c>
      <c r="J135" s="22"/>
      <c r="K135" s="19">
        <v>365</v>
      </c>
      <c r="L135" s="28">
        <v>8704779.25</v>
      </c>
      <c r="M135" s="22">
        <f t="shared" si="4"/>
        <v>365</v>
      </c>
      <c r="N135" s="19">
        <f>'[1]1º TRIMESTRE'!N136</f>
        <v>0</v>
      </c>
      <c r="O135" s="21">
        <f>'[1]1º TRIMESTRE'!O136</f>
        <v>0</v>
      </c>
      <c r="P135" s="21">
        <f>'[1]1º TRIMESTRE'!P136</f>
        <v>0</v>
      </c>
      <c r="Q135" s="19" t="s">
        <v>51</v>
      </c>
      <c r="R135" s="21">
        <f>'[1]1º TRIMESTRE'!R136</f>
        <v>0</v>
      </c>
      <c r="S135" s="21"/>
      <c r="T135" s="21">
        <f>'[1]1º TRIMESTRE'!T136+S135</f>
        <v>0</v>
      </c>
      <c r="U135" s="21">
        <f>'[1]1º TRIMESTRE'!U136+S135</f>
        <v>0</v>
      </c>
      <c r="V135" s="18" t="s">
        <v>141</v>
      </c>
      <c r="W135" s="24">
        <f t="shared" si="5"/>
        <v>0</v>
      </c>
      <c r="X135" s="24"/>
      <c r="Y135" s="24">
        <f t="shared" si="6"/>
        <v>0</v>
      </c>
      <c r="Z135" s="25" t="str">
        <f t="shared" si="7"/>
        <v>enc</v>
      </c>
    </row>
    <row r="136" spans="1:26" ht="33.75">
      <c r="A136" s="18" t="s">
        <v>142</v>
      </c>
      <c r="B136" s="18" t="s">
        <v>143</v>
      </c>
      <c r="C136" s="19"/>
      <c r="D136" s="20"/>
      <c r="E136" s="21"/>
      <c r="F136" s="21"/>
      <c r="G136" s="18" t="s">
        <v>117</v>
      </c>
      <c r="H136" s="18" t="s">
        <v>118</v>
      </c>
      <c r="I136" s="19" t="s">
        <v>144</v>
      </c>
      <c r="J136" s="22">
        <v>45124</v>
      </c>
      <c r="K136" s="19">
        <v>760</v>
      </c>
      <c r="L136" s="28">
        <v>14258024.6</v>
      </c>
      <c r="M136" s="22">
        <f t="shared" si="4"/>
        <v>45884</v>
      </c>
      <c r="N136" s="19">
        <f>'[1]1º TRIMESTRE'!N137</f>
        <v>0</v>
      </c>
      <c r="O136" s="21">
        <f>'[1]1º TRIMESTRE'!O137</f>
        <v>0</v>
      </c>
      <c r="P136" s="21">
        <f>'[1]1º TRIMESTRE'!P137</f>
        <v>0</v>
      </c>
      <c r="Q136" s="19" t="s">
        <v>42</v>
      </c>
      <c r="R136" s="21">
        <f>'[1]1º TRIMESTRE'!R137</f>
        <v>0</v>
      </c>
      <c r="S136" s="21"/>
      <c r="T136" s="21">
        <f>'[1]1º TRIMESTRE'!T137+S136</f>
        <v>0</v>
      </c>
      <c r="U136" s="21">
        <f>'[1]1º TRIMESTRE'!U137+S136</f>
        <v>0</v>
      </c>
      <c r="V136" s="18" t="s">
        <v>75</v>
      </c>
      <c r="W136" s="24">
        <f t="shared" si="5"/>
        <v>0</v>
      </c>
      <c r="X136" s="24"/>
      <c r="Y136" s="24">
        <f t="shared" si="6"/>
        <v>0</v>
      </c>
      <c r="Z136" s="25" t="str">
        <f t="shared" si="7"/>
        <v>and</v>
      </c>
    </row>
    <row r="137" spans="1:26" ht="33.75">
      <c r="A137" s="18" t="s">
        <v>142</v>
      </c>
      <c r="B137" s="18" t="s">
        <v>145</v>
      </c>
      <c r="C137" s="19"/>
      <c r="D137" s="20"/>
      <c r="E137" s="21"/>
      <c r="F137" s="21"/>
      <c r="G137" s="18" t="s">
        <v>146</v>
      </c>
      <c r="H137" s="18" t="s">
        <v>147</v>
      </c>
      <c r="I137" s="19" t="s">
        <v>148</v>
      </c>
      <c r="J137" s="22">
        <v>45124</v>
      </c>
      <c r="K137" s="19">
        <v>760</v>
      </c>
      <c r="L137" s="28">
        <v>14460208.800000001</v>
      </c>
      <c r="M137" s="22">
        <f t="shared" ref="M137:M140" si="8">J137+K137+N137</f>
        <v>45884</v>
      </c>
      <c r="N137" s="19">
        <f>'[1]1º TRIMESTRE'!N138</f>
        <v>0</v>
      </c>
      <c r="O137" s="21">
        <f>'[1]1º TRIMESTRE'!O138</f>
        <v>0</v>
      </c>
      <c r="P137" s="21">
        <f>'[1]1º TRIMESTRE'!P138</f>
        <v>0</v>
      </c>
      <c r="Q137" s="19" t="s">
        <v>42</v>
      </c>
      <c r="R137" s="21">
        <f>'[1]1º TRIMESTRE'!R138</f>
        <v>0</v>
      </c>
      <c r="S137" s="21"/>
      <c r="T137" s="21">
        <f>'[1]1º TRIMESTRE'!T138+S137</f>
        <v>0</v>
      </c>
      <c r="U137" s="21">
        <f>'[1]1º TRIMESTRE'!U138+S137</f>
        <v>0</v>
      </c>
      <c r="V137" s="18" t="s">
        <v>75</v>
      </c>
      <c r="W137" s="24">
        <f t="shared" ref="W137:W142" si="9">U137-R137</f>
        <v>0</v>
      </c>
      <c r="X137" s="24"/>
      <c r="Y137" s="24">
        <f t="shared" ref="Y137:Y142" si="10">X137+W137</f>
        <v>0</v>
      </c>
      <c r="Z137" s="25" t="str">
        <f t="shared" ref="Z137:Z142" si="11">IF(M137&gt;$Z$5,"and","enc")</f>
        <v>and</v>
      </c>
    </row>
    <row r="138" spans="1:26" ht="33.75">
      <c r="A138" s="18" t="s">
        <v>149</v>
      </c>
      <c r="B138" s="18" t="s">
        <v>150</v>
      </c>
      <c r="C138" s="19"/>
      <c r="D138" s="20"/>
      <c r="E138" s="21"/>
      <c r="F138" s="21"/>
      <c r="G138" s="18" t="s">
        <v>151</v>
      </c>
      <c r="H138" s="18" t="s">
        <v>152</v>
      </c>
      <c r="I138" s="19" t="s">
        <v>153</v>
      </c>
      <c r="J138" s="22"/>
      <c r="K138" s="19">
        <v>365</v>
      </c>
      <c r="L138" s="28">
        <v>29849994.719999999</v>
      </c>
      <c r="M138" s="22">
        <f t="shared" si="8"/>
        <v>365</v>
      </c>
      <c r="N138" s="19">
        <f>'[1]1º TRIMESTRE'!N139</f>
        <v>0</v>
      </c>
      <c r="O138" s="21">
        <f>'[1]1º TRIMESTRE'!O139</f>
        <v>0</v>
      </c>
      <c r="P138" s="21">
        <f>'[1]1º TRIMESTRE'!P139</f>
        <v>0</v>
      </c>
      <c r="Q138" s="19" t="s">
        <v>42</v>
      </c>
      <c r="R138" s="21">
        <f>'[1]1º TRIMESTRE'!R139</f>
        <v>0</v>
      </c>
      <c r="S138" s="21"/>
      <c r="T138" s="21">
        <f>'[1]1º TRIMESTRE'!T139+S138</f>
        <v>0</v>
      </c>
      <c r="U138" s="21">
        <f>'[1]1º TRIMESTRE'!U139+S138</f>
        <v>0</v>
      </c>
      <c r="V138" s="18" t="s">
        <v>75</v>
      </c>
      <c r="W138" s="24">
        <f t="shared" si="9"/>
        <v>0</v>
      </c>
      <c r="X138" s="24"/>
      <c r="Y138" s="24">
        <f t="shared" si="10"/>
        <v>0</v>
      </c>
      <c r="Z138" s="25" t="str">
        <f t="shared" si="11"/>
        <v>enc</v>
      </c>
    </row>
    <row r="139" spans="1:26" ht="33.75">
      <c r="A139" s="18" t="s">
        <v>154</v>
      </c>
      <c r="B139" s="18" t="s">
        <v>123</v>
      </c>
      <c r="C139" s="19" t="s">
        <v>35</v>
      </c>
      <c r="D139" s="20" t="s">
        <v>36</v>
      </c>
      <c r="E139" s="21"/>
      <c r="F139" s="21"/>
      <c r="G139" s="18" t="s">
        <v>155</v>
      </c>
      <c r="H139" s="18" t="s">
        <v>156</v>
      </c>
      <c r="I139" s="19" t="s">
        <v>157</v>
      </c>
      <c r="J139" s="22">
        <v>45147</v>
      </c>
      <c r="K139" s="19">
        <v>210</v>
      </c>
      <c r="L139" s="28">
        <v>4564632.83</v>
      </c>
      <c r="M139" s="22">
        <f t="shared" si="8"/>
        <v>45357</v>
      </c>
      <c r="N139" s="19">
        <f>'[1]1º TRIMESTRE'!N140</f>
        <v>0</v>
      </c>
      <c r="O139" s="21">
        <f>'[1]1º TRIMESTRE'!O140</f>
        <v>0</v>
      </c>
      <c r="P139" s="21">
        <f>'[1]1º TRIMESTRE'!P140</f>
        <v>0</v>
      </c>
      <c r="Q139" s="19" t="s">
        <v>51</v>
      </c>
      <c r="R139" s="21">
        <f>'[1]1º TRIMESTRE'!R140</f>
        <v>0</v>
      </c>
      <c r="S139" s="21"/>
      <c r="T139" s="21">
        <f>'[1]1º TRIMESTRE'!T140+S139</f>
        <v>0</v>
      </c>
      <c r="U139" s="21">
        <f>'[1]1º TRIMESTRE'!U140+S139</f>
        <v>0</v>
      </c>
      <c r="V139" s="18" t="s">
        <v>75</v>
      </c>
      <c r="W139" s="24">
        <f t="shared" si="9"/>
        <v>0</v>
      </c>
      <c r="X139" s="24"/>
      <c r="Y139" s="24">
        <f t="shared" si="10"/>
        <v>0</v>
      </c>
      <c r="Z139" s="25" t="str">
        <f t="shared" si="11"/>
        <v>and</v>
      </c>
    </row>
    <row r="140" spans="1:26" ht="45">
      <c r="A140" s="18" t="s">
        <v>158</v>
      </c>
      <c r="B140" s="18" t="s">
        <v>159</v>
      </c>
      <c r="C140" s="19"/>
      <c r="D140" s="20"/>
      <c r="E140" s="21"/>
      <c r="F140" s="21"/>
      <c r="G140" s="18" t="s">
        <v>160</v>
      </c>
      <c r="H140" s="18" t="s">
        <v>161</v>
      </c>
      <c r="I140" s="19" t="s">
        <v>162</v>
      </c>
      <c r="J140" s="22">
        <v>45117</v>
      </c>
      <c r="K140" s="19">
        <v>760</v>
      </c>
      <c r="L140" s="28">
        <v>7891811.4000000004</v>
      </c>
      <c r="M140" s="22">
        <f t="shared" si="8"/>
        <v>45877</v>
      </c>
      <c r="N140" s="19">
        <f>'[1]1º TRIMESTRE'!N141</f>
        <v>0</v>
      </c>
      <c r="O140" s="21">
        <f>'[1]1º TRIMESTRE'!O141</f>
        <v>0</v>
      </c>
      <c r="P140" s="21">
        <f>'[1]1º TRIMESTRE'!P141</f>
        <v>0</v>
      </c>
      <c r="Q140" s="19" t="s">
        <v>42</v>
      </c>
      <c r="R140" s="21">
        <f>'[1]1º TRIMESTRE'!R141</f>
        <v>0</v>
      </c>
      <c r="S140" s="21"/>
      <c r="T140" s="21">
        <f>'[1]1º TRIMESTRE'!T141+S140</f>
        <v>0</v>
      </c>
      <c r="U140" s="21">
        <f>'[1]1º TRIMESTRE'!U141+S140</f>
        <v>0</v>
      </c>
      <c r="V140" s="18" t="s">
        <v>75</v>
      </c>
      <c r="W140" s="24">
        <f t="shared" si="9"/>
        <v>0</v>
      </c>
      <c r="X140" s="24"/>
      <c r="Y140" s="24">
        <f t="shared" si="10"/>
        <v>0</v>
      </c>
      <c r="Z140" s="25" t="str">
        <f t="shared" si="11"/>
        <v>and</v>
      </c>
    </row>
    <row r="141" spans="1:26">
      <c r="A141" s="18"/>
      <c r="B141" s="18"/>
      <c r="C141" s="19"/>
      <c r="D141" s="20"/>
      <c r="E141" s="21"/>
      <c r="F141" s="21"/>
      <c r="G141" s="18"/>
      <c r="H141" s="18"/>
      <c r="I141" s="19"/>
      <c r="J141" s="22"/>
      <c r="K141" s="19"/>
      <c r="L141" s="21"/>
      <c r="M141" s="22"/>
      <c r="N141" s="19">
        <f>'[1]1º TRIMESTRE'!N142</f>
        <v>0</v>
      </c>
      <c r="O141" s="21">
        <f>'[1]1º TRIMESTRE'!O142</f>
        <v>0</v>
      </c>
      <c r="P141" s="21">
        <f>'[1]1º TRIMESTRE'!P142</f>
        <v>0</v>
      </c>
      <c r="Q141" s="19"/>
      <c r="R141" s="21">
        <f>'[1]1º TRIMESTRE'!R142</f>
        <v>0</v>
      </c>
      <c r="S141" s="21"/>
      <c r="T141" s="21">
        <f>'[1]1º TRIMESTRE'!T142+S141</f>
        <v>0</v>
      </c>
      <c r="U141" s="21">
        <f>'[1]1º TRIMESTRE'!U142+S141</f>
        <v>0</v>
      </c>
      <c r="V141" s="23"/>
      <c r="W141" s="24">
        <f t="shared" si="9"/>
        <v>0</v>
      </c>
      <c r="X141" s="24"/>
      <c r="Y141" s="24">
        <f t="shared" si="10"/>
        <v>0</v>
      </c>
      <c r="Z141" s="25" t="str">
        <f t="shared" si="11"/>
        <v>enc</v>
      </c>
    </row>
    <row r="142" spans="1:26">
      <c r="A142" s="18"/>
      <c r="B142" s="18"/>
      <c r="C142" s="19"/>
      <c r="D142" s="20"/>
      <c r="E142" s="21"/>
      <c r="F142" s="21"/>
      <c r="G142" s="18"/>
      <c r="H142" s="18"/>
      <c r="I142" s="19"/>
      <c r="J142" s="22"/>
      <c r="K142" s="19"/>
      <c r="L142" s="21"/>
      <c r="M142" s="22"/>
      <c r="N142" s="19">
        <f>'[1]1º TRIMESTRE'!N143</f>
        <v>0</v>
      </c>
      <c r="O142" s="21">
        <f>'[1]1º TRIMESTRE'!O143</f>
        <v>0</v>
      </c>
      <c r="P142" s="21">
        <f>'[1]1º TRIMESTRE'!P143</f>
        <v>0</v>
      </c>
      <c r="Q142" s="19"/>
      <c r="R142" s="21">
        <f>'[1]1º TRIMESTRE'!R143</f>
        <v>0</v>
      </c>
      <c r="S142" s="21"/>
      <c r="T142" s="21">
        <f>'[1]1º TRIMESTRE'!T143+S142</f>
        <v>0</v>
      </c>
      <c r="U142" s="21">
        <f>'[1]1º TRIMESTRE'!U143+S142</f>
        <v>0</v>
      </c>
      <c r="V142" s="23"/>
      <c r="W142" s="24">
        <f t="shared" si="9"/>
        <v>0</v>
      </c>
      <c r="X142" s="24"/>
      <c r="Y142" s="24">
        <f t="shared" si="10"/>
        <v>0</v>
      </c>
      <c r="Z142" s="25" t="str">
        <f t="shared" si="11"/>
        <v>enc</v>
      </c>
    </row>
  </sheetData>
  <autoFilter ref="A7:AN142"/>
  <mergeCells count="20">
    <mergeCell ref="F4:H4"/>
    <mergeCell ref="J4:O4"/>
    <mergeCell ref="Q4:V4"/>
    <mergeCell ref="A1:V1"/>
    <mergeCell ref="A2:F2"/>
    <mergeCell ref="G2:V2"/>
    <mergeCell ref="A3:F3"/>
    <mergeCell ref="G3:V3"/>
    <mergeCell ref="Q6:U6"/>
    <mergeCell ref="V6:V7"/>
    <mergeCell ref="A5:C5"/>
    <mergeCell ref="F5:H5"/>
    <mergeCell ref="J5:O5"/>
    <mergeCell ref="Q5:V5"/>
    <mergeCell ref="A6:A7"/>
    <mergeCell ref="B6:B7"/>
    <mergeCell ref="C6:F6"/>
    <mergeCell ref="G6:H6"/>
    <mergeCell ref="I6:M6"/>
    <mergeCell ref="N6:O6"/>
  </mergeCells>
  <pageMargins left="0.51181102362204722" right="0.51181102362204722" top="0.78740157480314965" bottom="0.78740157480314965" header="0.31496062992125984" footer="0.31496062992125984"/>
  <pageSetup paperSize="9" scale="34" fitToHeight="0" orientation="landscape" r:id="rId1"/>
  <headerFooter>
    <oddHeader>&amp;R&amp;D</oddHead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2º TRIMESTRE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Tiago Mendes</dc:creator>
  <cp:lastModifiedBy>reginaldo.rodrigues</cp:lastModifiedBy>
  <cp:lastPrinted>2025-07-09T18:27:08Z</cp:lastPrinted>
  <dcterms:created xsi:type="dcterms:W3CDTF">2024-11-26T14:56:01Z</dcterms:created>
  <dcterms:modified xsi:type="dcterms:W3CDTF">2025-07-09T18:27:13Z</dcterms:modified>
</cp:coreProperties>
</file>